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calcChain.xml" ContentType="application/vnd.openxmlformats-officedocument.spreadsheetml.calcChain+xml"/>
  <Default Extension="rels" ContentType="application/vnd.openxmlformats-package.relationship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Default Extension="bin" ContentType="application/vnd.openxmlformats-officedocument.spreadsheetml.customProperty"/>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28940" yWindow="5000" windowWidth="27820" windowHeight="14040"/>
  </bookViews>
  <sheets>
    <sheet name="Birch Production in Maple Op." sheetId="14" r:id="rId1"/>
    <sheet name="_SSC" sheetId="16" state="veryHidden" r:id="rId2"/>
  </sheets>
  <definedNames>
    <definedName name="_xlnm.Print_Area" localSheetId="0">'Birch Production in Maple Op.'!$G$10:$K$30</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36" i="14"/>
  <c r="B35"/>
  <c r="C87"/>
  <c r="C90"/>
  <c r="L70"/>
  <c r="D90"/>
  <c r="N59"/>
  <c r="L59"/>
  <c r="M56"/>
  <c r="N56"/>
  <c r="M55"/>
  <c r="N55"/>
  <c r="M54"/>
  <c r="N54"/>
  <c r="M52"/>
  <c r="N52"/>
  <c r="M51"/>
  <c r="N51"/>
  <c r="L49"/>
  <c r="L48"/>
  <c r="N48"/>
  <c r="M47"/>
  <c r="L47"/>
  <c r="M46"/>
  <c r="L46"/>
  <c r="L45"/>
  <c r="M43"/>
  <c r="L43"/>
  <c r="L42"/>
  <c r="L41"/>
  <c r="L40"/>
  <c r="I70"/>
  <c r="D89"/>
  <c r="K59"/>
  <c r="I59"/>
  <c r="J56"/>
  <c r="K56"/>
  <c r="J55"/>
  <c r="K55"/>
  <c r="J54"/>
  <c r="K54"/>
  <c r="J52"/>
  <c r="K52"/>
  <c r="J51"/>
  <c r="K51"/>
  <c r="I49"/>
  <c r="I48"/>
  <c r="K48"/>
  <c r="J47"/>
  <c r="I47"/>
  <c r="J46"/>
  <c r="I46"/>
  <c r="I45"/>
  <c r="J43"/>
  <c r="I43"/>
  <c r="I44"/>
  <c r="I42"/>
  <c r="I41"/>
  <c r="I40"/>
  <c r="F70"/>
  <c r="D88"/>
  <c r="F59"/>
  <c r="H59"/>
  <c r="E59"/>
  <c r="E48"/>
  <c r="G47"/>
  <c r="C47"/>
  <c r="E47"/>
  <c r="G46"/>
  <c r="C46"/>
  <c r="E46"/>
  <c r="G54"/>
  <c r="H54"/>
  <c r="G56"/>
  <c r="H56"/>
  <c r="C56"/>
  <c r="G55"/>
  <c r="H55"/>
  <c r="C55"/>
  <c r="C54"/>
  <c r="E54"/>
  <c r="F49"/>
  <c r="F48"/>
  <c r="H48"/>
  <c r="F47"/>
  <c r="H47"/>
  <c r="F46"/>
  <c r="F45"/>
  <c r="F43"/>
  <c r="F42"/>
  <c r="F41"/>
  <c r="F40"/>
  <c r="G43"/>
  <c r="C43"/>
  <c r="G52"/>
  <c r="H52"/>
  <c r="C52"/>
  <c r="G51"/>
  <c r="H51"/>
  <c r="C51"/>
  <c r="K43"/>
  <c r="N43"/>
  <c r="N46"/>
  <c r="K47"/>
  <c r="K46"/>
  <c r="N47"/>
  <c r="H46"/>
  <c r="L44"/>
  <c r="H43"/>
  <c r="F44"/>
  <c r="B70"/>
  <c r="D87"/>
  <c r="E56"/>
  <c r="E55"/>
  <c r="E52"/>
  <c r="E51"/>
  <c r="B44"/>
  <c r="E43"/>
  <c r="B17"/>
  <c r="B12"/>
  <c r="B14"/>
  <c r="B6"/>
  <c r="B13"/>
  <c r="B18"/>
  <c r="B20"/>
  <c r="B19"/>
  <c r="B15"/>
  <c r="B26"/>
  <c r="B27"/>
  <c r="B16"/>
  <c r="B29"/>
  <c r="C41"/>
  <c r="E41"/>
  <c r="L66"/>
  <c r="E90"/>
  <c r="I66"/>
  <c r="E89"/>
  <c r="J41"/>
  <c r="K41"/>
  <c r="M41"/>
  <c r="N41"/>
  <c r="F66"/>
  <c r="E88"/>
  <c r="J40"/>
  <c r="K40"/>
  <c r="M40"/>
  <c r="N40"/>
  <c r="M44"/>
  <c r="N44"/>
  <c r="J44"/>
  <c r="K44"/>
  <c r="C40"/>
  <c r="E40"/>
  <c r="G40"/>
  <c r="H40"/>
  <c r="G44"/>
  <c r="H44"/>
  <c r="C44"/>
  <c r="E44"/>
  <c r="B66"/>
  <c r="G41"/>
  <c r="H41"/>
  <c r="B32"/>
  <c r="B28"/>
  <c r="B74"/>
  <c r="B75"/>
  <c r="M45"/>
  <c r="N45"/>
  <c r="J45"/>
  <c r="K45"/>
  <c r="I74"/>
  <c r="I75"/>
  <c r="J50"/>
  <c r="K50"/>
  <c r="J49"/>
  <c r="F74"/>
  <c r="F75"/>
  <c r="L74"/>
  <c r="M49"/>
  <c r="M50"/>
  <c r="N50"/>
  <c r="L75"/>
  <c r="C50"/>
  <c r="E50"/>
  <c r="C49"/>
  <c r="G50"/>
  <c r="H50"/>
  <c r="G49"/>
  <c r="G45"/>
  <c r="H45"/>
  <c r="C45"/>
  <c r="E45"/>
  <c r="K49"/>
  <c r="J42"/>
  <c r="K42"/>
  <c r="N49"/>
  <c r="M42"/>
  <c r="N42"/>
  <c r="G42"/>
  <c r="H42"/>
  <c r="H49"/>
  <c r="E49"/>
  <c r="C42"/>
  <c r="E87"/>
  <c r="N61"/>
  <c r="N62"/>
  <c r="N63"/>
  <c r="N71"/>
  <c r="K63"/>
  <c r="K71"/>
  <c r="K61"/>
  <c r="K62"/>
  <c r="H61"/>
  <c r="H63"/>
  <c r="H71"/>
  <c r="H62"/>
  <c r="E42"/>
  <c r="K73"/>
  <c r="K69"/>
  <c r="K72"/>
  <c r="K68"/>
  <c r="K67"/>
  <c r="K74"/>
  <c r="K70"/>
  <c r="N67"/>
  <c r="N74"/>
  <c r="N70"/>
  <c r="N73"/>
  <c r="N69"/>
  <c r="N72"/>
  <c r="N68"/>
  <c r="K75"/>
  <c r="K66"/>
  <c r="N75"/>
  <c r="N66"/>
  <c r="H75"/>
  <c r="H66"/>
  <c r="H67"/>
  <c r="H72"/>
  <c r="H74"/>
  <c r="H70"/>
  <c r="H73"/>
  <c r="H69"/>
  <c r="H68"/>
  <c r="E63"/>
  <c r="E71"/>
  <c r="E61"/>
  <c r="E66"/>
  <c r="E62"/>
  <c r="N77"/>
  <c r="K77"/>
  <c r="H77"/>
  <c r="E72"/>
  <c r="E68"/>
  <c r="E67"/>
  <c r="E73"/>
  <c r="E69"/>
  <c r="E74"/>
  <c r="E70"/>
  <c r="E75"/>
  <c r="H81"/>
  <c r="H88"/>
  <c r="H80"/>
  <c r="G88"/>
  <c r="I67"/>
  <c r="K80"/>
  <c r="G89"/>
  <c r="K81"/>
  <c r="H89"/>
  <c r="L67"/>
  <c r="N80"/>
  <c r="G90"/>
  <c r="N81"/>
  <c r="H90"/>
  <c r="F67"/>
  <c r="E77"/>
  <c r="F72"/>
  <c r="F88"/>
  <c r="I72"/>
  <c r="F89"/>
  <c r="L72"/>
  <c r="F90"/>
  <c r="B67"/>
  <c r="E81"/>
  <c r="E80"/>
  <c r="L77"/>
  <c r="N83"/>
  <c r="F77"/>
  <c r="H83"/>
  <c r="L71"/>
  <c r="L76"/>
  <c r="N82"/>
  <c r="F71"/>
  <c r="I77"/>
  <c r="K83"/>
  <c r="H87"/>
  <c r="I71"/>
  <c r="G87"/>
  <c r="B72"/>
  <c r="F87"/>
  <c r="F76"/>
  <c r="H82"/>
  <c r="I76"/>
  <c r="K82"/>
  <c r="B77"/>
  <c r="E83"/>
  <c r="B71"/>
  <c r="B76"/>
  <c r="E82"/>
</calcChain>
</file>

<file path=xl/sharedStrings.xml><?xml version="1.0" encoding="utf-8"?>
<sst xmlns="http://schemas.openxmlformats.org/spreadsheetml/2006/main" count="222" uniqueCount="121">
  <si>
    <t>Birch production is added to an existing, profitable maple operation.</t>
  </si>
  <si>
    <t>All birch syrup produced is sold.</t>
  </si>
  <si>
    <t>Information for wood-fired evaporators is available on request.</t>
  </si>
  <si>
    <t>Birch activities use only existing maple equipment (evaporator, RO, sap tanks, vacuum pump, etc.), and 2 passes through the RO are used to concentrate birch sap.</t>
  </si>
  <si>
    <t>More information about the financial calculations and adding birch syrup production to maple operations can be found in the full report of this research project: http://nsrcforest.org/sites/default/files/uploads/vandenBerg11full.pdf</t>
  </si>
  <si>
    <t>Calculations assume:</t>
  </si>
  <si>
    <t>Retail syrup prices based on a survey of 2014 prices; wholesale prices are calculated from a standard pricing formula, retail price/1.5</t>
  </si>
  <si>
    <t>Fuel prices based on 2014 averages in Vermont: Electricty = $0.17kwhr, Propane = $3.36/gal, No. 2 Fuel oil = $3.86/gal. Labor rate = $20/hr</t>
  </si>
  <si>
    <t>Equipment used: 3.8 kw/h vacuum pump, 65,000 BTU canning unit, 200,000 BTU finishing pan.</t>
  </si>
  <si>
    <t>Annual cost ($)</t>
  </si>
  <si>
    <t>Cost per unit ($)</t>
  </si>
  <si>
    <t>Pricing method/sales type</t>
  </si>
  <si>
    <t>Expenses - 40-mL Nip production</t>
  </si>
  <si>
    <t>Variable Expenses</t>
  </si>
  <si>
    <t>Cost per tap ($)</t>
  </si>
  <si>
    <t>Total Annual Expenses ($)</t>
  </si>
  <si>
    <t>10-year Average Annual Expense:</t>
  </si>
  <si>
    <t>Production cost per unit</t>
  </si>
  <si>
    <t>Crop Value</t>
  </si>
  <si>
    <t>Annual Syrup Price and Value</t>
  </si>
  <si>
    <t>Income - 40-mL Nip production</t>
  </si>
  <si>
    <t>Other consumeable supplies ($/tap)</t>
  </si>
  <si>
    <t>Dollars</t>
  </si>
  <si>
    <t>Overhead ($/tap)</t>
  </si>
  <si>
    <t>**Assumes all other equipment with fixed costs used from maple production (RO, evaporator, etc.)</t>
  </si>
  <si>
    <t>Average Annual Net Revenue:</t>
  </si>
  <si>
    <t>No. of units produced</t>
  </si>
  <si>
    <t>REMOVED</t>
  </si>
  <si>
    <t>Total Concentrate Volume, gallons (after second pass)</t>
  </si>
  <si>
    <t>Unit Size</t>
  </si>
  <si>
    <t>Number of units produced</t>
  </si>
  <si>
    <t>Estimated cost of producing each unit</t>
  </si>
  <si>
    <t>{"IsHide":false,"SheetId":13,"Name":"Birch Production in Maple Op.","HiddenRow":13,"VisibleRange":"","SheetTheme":{"TabColor":"","BodyColor":"","BodyImage":""}}</t>
  </si>
  <si>
    <t>A new tubing system for birch trees is installed, with spouts replaced annually and droplines replaced every 5 years.</t>
  </si>
  <si>
    <t>Retail Sales</t>
  </si>
  <si>
    <t>Wholesale Sales</t>
  </si>
  <si>
    <t>Operation Specifications</t>
  </si>
  <si>
    <t>Evaporator burner (gallons of oil per hour)</t>
  </si>
  <si>
    <t>Evaporator evaporation rate (gallons of water per hour)</t>
  </si>
  <si>
    <t>RO flow rate (gallons per hour)</t>
  </si>
  <si>
    <t>Number of birch taps added</t>
  </si>
  <si>
    <t>Individuals employed (including yourself)</t>
  </si>
  <si>
    <t>Estimated Average Annual Net Revenue</t>
  </si>
  <si>
    <t>Current retail price</t>
  </si>
  <si>
    <t>Current wholesale price</t>
  </si>
  <si>
    <t>Estimated potential revenues from adding birch syrup production to an existing maple operation</t>
  </si>
  <si>
    <t>University of Vermont Proctor Maple Research Center</t>
  </si>
  <si>
    <t>Finishing pan fuel use rate (gal propane/hr)</t>
  </si>
  <si>
    <t>For questions or additional details, please contact Dr. Abby van den Berg (Abby.vandenBerg@uvm.edu).</t>
  </si>
  <si>
    <t xml:space="preserve">A more comprehensive spreadsheet with user-adjustable values for fuel prices, equipment specifications, labor rates, etc., is available on request.  </t>
  </si>
  <si>
    <t>Canning unit fuel use rate (gal propane per hr)</t>
  </si>
  <si>
    <t>Concentrate flow rate (gph)</t>
  </si>
  <si>
    <t>Concentration % (each pass)</t>
  </si>
  <si>
    <t>Concentration after first pass (%)</t>
  </si>
  <si>
    <t>Concentration after second pass (%)</t>
  </si>
  <si>
    <t>Vacuum Pump Consumption (kw/h)</t>
  </si>
  <si>
    <t>RO Electrical Usage (kw)</t>
  </si>
  <si>
    <t>Total RO run time (wash)</t>
  </si>
  <si>
    <t>Total Production (sap volume, gallons)</t>
  </si>
  <si>
    <t>Total RO run time (hours)</t>
  </si>
  <si>
    <t>Total RO run time for concentration (hours)</t>
  </si>
  <si>
    <t>Hours to setup and cleanup</t>
  </si>
  <si>
    <t>Hours for sugarhouse work (boiling, RO, filtering)</t>
  </si>
  <si>
    <t>Marketing</t>
  </si>
  <si>
    <t>Item</t>
  </si>
  <si>
    <t>Total Value ($)</t>
  </si>
  <si>
    <t>Average sap sugar content (Brix)</t>
  </si>
  <si>
    <t>Tubing system maintenance activity</t>
  </si>
  <si>
    <t>-</t>
  </si>
  <si>
    <t>Concentrate volume after first pass (gallons)</t>
  </si>
  <si>
    <t>Total Permeate Volume (gallons)</t>
  </si>
  <si>
    <t>Canning</t>
  </si>
  <si>
    <t>Sugarhouse operations</t>
  </si>
  <si>
    <t>Insurance</t>
  </si>
  <si>
    <t>Price per unit ($)</t>
  </si>
  <si>
    <t>Quarts</t>
  </si>
  <si>
    <t>Cost-based Wholesale</t>
  </si>
  <si>
    <t>Cost-based Retail</t>
  </si>
  <si>
    <t>Competition-based Wholesale</t>
  </si>
  <si>
    <t>Competition-based Retail</t>
  </si>
  <si>
    <t>Gallons</t>
  </si>
  <si>
    <t>40-mL nips</t>
  </si>
  <si>
    <t>1/2-pints</t>
  </si>
  <si>
    <t>Kilowatt hours</t>
  </si>
  <si>
    <t>Hours</t>
  </si>
  <si>
    <t>Containers</t>
  </si>
  <si>
    <t>Spouts</t>
  </si>
  <si>
    <t>Droplines</t>
  </si>
  <si>
    <t>Units</t>
  </si>
  <si>
    <t>No. of units</t>
  </si>
  <si>
    <t>Evaporator fuel</t>
  </si>
  <si>
    <t>Finishing pan fuel</t>
  </si>
  <si>
    <t>Canning unit fuel</t>
  </si>
  <si>
    <t>Electricity - vacuum pump</t>
  </si>
  <si>
    <t>Electricity - RO</t>
  </si>
  <si>
    <t>Labor - sugarhouse</t>
  </si>
  <si>
    <t>Labor - tapping</t>
  </si>
  <si>
    <t>Labor - tubing/woods maintenance</t>
  </si>
  <si>
    <t xml:space="preserve">Labor - RO maintenance </t>
  </si>
  <si>
    <t>Labor - canning</t>
  </si>
  <si>
    <t>Containers for canning</t>
  </si>
  <si>
    <t>Tubing system (10-year lifespan)</t>
  </si>
  <si>
    <t>Current retail price (competition-based pricing)</t>
  </si>
  <si>
    <t>New tubing system</t>
  </si>
  <si>
    <t>Replace spouts</t>
  </si>
  <si>
    <t>Replace droplines</t>
  </si>
  <si>
    <t>Fixed Expenses**</t>
  </si>
  <si>
    <t>Total Annual Expenses:</t>
  </si>
  <si>
    <t>Year</t>
  </si>
  <si>
    <t>Tapping supplies - new spouts</t>
  </si>
  <si>
    <t>Tapping supplies - new droplines</t>
  </si>
  <si>
    <t>Subtotal, Annual supplies - Replace spouts</t>
  </si>
  <si>
    <t>Subtotal, Annual supplies - Replace Droplines</t>
  </si>
  <si>
    <t>Subtotal, Annual supplies - New tubing system</t>
  </si>
  <si>
    <t>Percent Loss</t>
  </si>
  <si>
    <t>No. of Season days</t>
  </si>
  <si>
    <t>Total Cost</t>
  </si>
  <si>
    <t>Total evaporator fuel required (gallons)</t>
  </si>
  <si>
    <t>Total water to evaporate (gallons)</t>
  </si>
  <si>
    <t xml:space="preserve">Total evaporator hours </t>
  </si>
  <si>
    <t>Total syrup volume (gallons)</t>
  </si>
</sst>
</file>

<file path=xl/styles.xml><?xml version="1.0" encoding="utf-8"?>
<styleSheet xmlns="http://schemas.openxmlformats.org/spreadsheetml/2006/main">
  <numFmts count="3">
    <numFmt numFmtId="164" formatCode="0.0"/>
    <numFmt numFmtId="165" formatCode="&quot;$&quot;#,##0.00"/>
    <numFmt numFmtId="166" formatCode="&quot;$&quot;#,##0"/>
  </numFmts>
  <fonts count="15">
    <font>
      <sz val="11"/>
      <color theme="1"/>
      <name val="Calibri"/>
      <family val="2"/>
      <scheme val="minor"/>
    </font>
    <font>
      <sz val="10"/>
      <color indexed="8"/>
      <name val="Arial"/>
      <family val="2"/>
    </font>
    <font>
      <sz val="10"/>
      <color indexed="8"/>
      <name val="Arial"/>
      <family val="2"/>
    </font>
    <font>
      <sz val="10"/>
      <color indexed="8"/>
      <name val="Arial"/>
      <family val="2"/>
    </font>
    <font>
      <b/>
      <sz val="10"/>
      <color indexed="8"/>
      <name val="Arial"/>
      <family val="2"/>
    </font>
    <font>
      <sz val="8"/>
      <color indexed="8"/>
      <name val="Arial"/>
      <family val="2"/>
    </font>
    <font>
      <sz val="11"/>
      <color indexed="8"/>
      <name val="Arial"/>
      <family val="2"/>
    </font>
    <font>
      <sz val="10"/>
      <name val="Arial"/>
      <family val="2"/>
    </font>
    <font>
      <sz val="11"/>
      <name val="Arial"/>
      <family val="2"/>
    </font>
    <font>
      <sz val="9"/>
      <color indexed="8"/>
      <name val="Arial"/>
      <family val="2"/>
    </font>
    <font>
      <b/>
      <sz val="9"/>
      <color indexed="8"/>
      <name val="Arial"/>
      <family val="2"/>
    </font>
    <font>
      <sz val="9"/>
      <name val="Arial"/>
      <family val="2"/>
    </font>
    <font>
      <b/>
      <sz val="14"/>
      <color indexed="8"/>
      <name val="Arial"/>
      <family val="2"/>
    </font>
    <font>
      <sz val="14"/>
      <color indexed="8"/>
      <name val="Arial"/>
      <family val="2"/>
    </font>
    <font>
      <sz val="8"/>
      <name val="Verdana"/>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ck">
        <color rgb="FF0070C0"/>
      </left>
      <right style="medium">
        <color indexed="64"/>
      </right>
      <top style="thick">
        <color rgb="FF0070C0"/>
      </top>
      <bottom style="thick">
        <color rgb="FF0070C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5" tint="-0.24994659260841701"/>
      </left>
      <right style="medium">
        <color indexed="64"/>
      </right>
      <top/>
      <bottom style="medium">
        <color indexed="64"/>
      </bottom>
      <diagonal/>
    </border>
    <border>
      <left style="thin">
        <color theme="3"/>
      </left>
      <right/>
      <top/>
      <bottom style="thin">
        <color indexed="64"/>
      </bottom>
      <diagonal/>
    </border>
    <border>
      <left style="medium">
        <color theme="3"/>
      </left>
      <right style="medium">
        <color theme="3"/>
      </right>
      <top style="medium">
        <color theme="3"/>
      </top>
      <bottom style="medium">
        <color theme="3"/>
      </bottom>
      <diagonal/>
    </border>
    <border>
      <left/>
      <right style="medium">
        <color indexed="64"/>
      </right>
      <top style="thick">
        <color rgb="FF0070C0"/>
      </top>
      <bottom style="thick">
        <color rgb="FF0070C0"/>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rgb="FF0070C0"/>
      </left>
      <right style="medium">
        <color indexed="64"/>
      </right>
      <top/>
      <bottom style="thick">
        <color rgb="FF0070C0"/>
      </bottom>
      <diagonal/>
    </border>
    <border>
      <left style="medium">
        <color indexed="64"/>
      </left>
      <right/>
      <top style="thin">
        <color indexed="64"/>
      </top>
      <bottom style="medium">
        <color indexed="64"/>
      </bottom>
      <diagonal/>
    </border>
    <border>
      <left style="thick">
        <color rgb="FF0070C0"/>
      </left>
      <right style="medium">
        <color indexed="64"/>
      </right>
      <top style="thick">
        <color rgb="FF0070C0"/>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41">
    <xf numFmtId="0" fontId="0" fillId="0" borderId="0" xfId="0"/>
    <xf numFmtId="0" fontId="6" fillId="0" borderId="0" xfId="0" applyFont="1"/>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164" fontId="7" fillId="6" borderId="12" xfId="0" applyNumberFormat="1" applyFont="1" applyFill="1" applyBorder="1" applyAlignment="1">
      <alignment horizontal="center" vertical="center"/>
    </xf>
    <xf numFmtId="0" fontId="4" fillId="6" borderId="0"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6" borderId="26" xfId="0" applyFont="1" applyFill="1" applyBorder="1" applyAlignment="1">
      <alignment vertical="center"/>
    </xf>
    <xf numFmtId="0" fontId="4" fillId="6" borderId="14"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3" xfId="0" applyFont="1" applyFill="1" applyBorder="1" applyAlignment="1">
      <alignment horizontal="center" vertical="center" wrapText="1"/>
    </xf>
    <xf numFmtId="0" fontId="7" fillId="0" borderId="0" xfId="0" applyFont="1"/>
    <xf numFmtId="0" fontId="7" fillId="0" borderId="0" xfId="0" applyFont="1" applyBorder="1"/>
    <xf numFmtId="0" fontId="4" fillId="6" borderId="30" xfId="0" applyFont="1" applyFill="1" applyBorder="1" applyAlignment="1">
      <alignment horizontal="center" vertical="center" wrapText="1"/>
    </xf>
    <xf numFmtId="0" fontId="7" fillId="0" borderId="28" xfId="0" applyFont="1" applyFill="1" applyBorder="1" applyAlignment="1">
      <alignment horizontal="center"/>
    </xf>
    <xf numFmtId="0" fontId="7" fillId="0" borderId="27" xfId="0" applyFont="1" applyBorder="1"/>
    <xf numFmtId="0" fontId="4" fillId="6" borderId="10"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22"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12" xfId="0" applyFont="1" applyFill="1" applyBorder="1" applyAlignment="1">
      <alignment horizontal="center" vertical="center"/>
    </xf>
    <xf numFmtId="0" fontId="3" fillId="0" borderId="0" xfId="0" applyFont="1"/>
    <xf numFmtId="0" fontId="3" fillId="6" borderId="15" xfId="0" applyFont="1" applyFill="1" applyBorder="1" applyAlignment="1">
      <alignment vertical="center"/>
    </xf>
    <xf numFmtId="0" fontId="3" fillId="6" borderId="18" xfId="0" applyFont="1" applyFill="1" applyBorder="1" applyAlignment="1">
      <alignment vertical="center"/>
    </xf>
    <xf numFmtId="0" fontId="3" fillId="6" borderId="18" xfId="0" applyFont="1" applyFill="1" applyBorder="1" applyAlignment="1">
      <alignment vertical="center" wrapText="1"/>
    </xf>
    <xf numFmtId="0" fontId="3" fillId="6" borderId="23" xfId="0" applyFont="1" applyFill="1" applyBorder="1" applyAlignment="1">
      <alignment vertical="center"/>
    </xf>
    <xf numFmtId="0" fontId="3" fillId="2" borderId="31" xfId="0" applyFont="1" applyFill="1" applyBorder="1" applyAlignment="1">
      <alignment horizontal="center" vertical="center"/>
    </xf>
    <xf numFmtId="164" fontId="3" fillId="6" borderId="11" xfId="0" applyNumberFormat="1" applyFont="1" applyFill="1" applyBorder="1" applyAlignment="1">
      <alignment horizontal="center" vertical="center"/>
    </xf>
    <xf numFmtId="164" fontId="3" fillId="6" borderId="12" xfId="0" applyNumberFormat="1" applyFont="1" applyFill="1" applyBorder="1" applyAlignment="1">
      <alignment horizontal="center" vertical="center"/>
    </xf>
    <xf numFmtId="1" fontId="3" fillId="6" borderId="20"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1" fontId="3" fillId="6" borderId="12" xfId="0" applyNumberFormat="1" applyFont="1" applyFill="1" applyBorder="1" applyAlignment="1">
      <alignment horizontal="center" vertical="center"/>
    </xf>
    <xf numFmtId="164" fontId="3" fillId="6" borderId="20" xfId="0" applyNumberFormat="1" applyFont="1" applyFill="1" applyBorder="1" applyAlignment="1">
      <alignment horizontal="center" vertical="center"/>
    </xf>
    <xf numFmtId="2" fontId="3" fillId="6" borderId="12" xfId="0" applyNumberFormat="1" applyFont="1" applyFill="1" applyBorder="1" applyAlignment="1">
      <alignment horizontal="center" vertical="center"/>
    </xf>
    <xf numFmtId="0" fontId="3" fillId="6" borderId="20" xfId="0" applyFont="1" applyFill="1" applyBorder="1" applyAlignment="1">
      <alignment horizontal="center" vertical="center"/>
    </xf>
    <xf numFmtId="0" fontId="3" fillId="6" borderId="0" xfId="0" applyFont="1" applyFill="1" applyBorder="1" applyAlignment="1">
      <alignment horizontal="center"/>
    </xf>
    <xf numFmtId="0" fontId="3" fillId="6" borderId="12" xfId="0" applyFont="1" applyFill="1" applyBorder="1" applyAlignment="1">
      <alignment horizontal="center"/>
    </xf>
    <xf numFmtId="0" fontId="3" fillId="6" borderId="8" xfId="0" applyFont="1" applyFill="1" applyBorder="1" applyAlignment="1">
      <alignment vertical="center"/>
    </xf>
    <xf numFmtId="0" fontId="3" fillId="6" borderId="21" xfId="0" applyFont="1" applyFill="1" applyBorder="1" applyAlignment="1">
      <alignment vertical="center"/>
    </xf>
    <xf numFmtId="0" fontId="3" fillId="0" borderId="3" xfId="0" applyFont="1" applyFill="1" applyBorder="1" applyAlignment="1">
      <alignment vertical="center"/>
    </xf>
    <xf numFmtId="0" fontId="3" fillId="0" borderId="0" xfId="0" applyFont="1" applyBorder="1" applyAlignment="1">
      <alignment vertical="center"/>
    </xf>
    <xf numFmtId="1" fontId="3" fillId="0" borderId="4" xfId="0" applyNumberFormat="1" applyFont="1" applyBorder="1" applyAlignment="1">
      <alignment horizontal="center" vertical="center"/>
    </xf>
    <xf numFmtId="0" fontId="8" fillId="0" borderId="0" xfId="0" applyFont="1" applyBorder="1"/>
    <xf numFmtId="0" fontId="3" fillId="0" borderId="0" xfId="0" applyFont="1" applyFill="1" applyBorder="1" applyAlignment="1">
      <alignment vertical="center"/>
    </xf>
    <xf numFmtId="1" fontId="3" fillId="0" borderId="4" xfId="0" applyNumberFormat="1" applyFont="1" applyFill="1" applyBorder="1" applyAlignment="1">
      <alignment horizontal="center" vertical="center"/>
    </xf>
    <xf numFmtId="0" fontId="3" fillId="0" borderId="0" xfId="0" applyFont="1" applyFill="1"/>
    <xf numFmtId="0" fontId="3" fillId="6" borderId="18" xfId="0" applyFont="1" applyFill="1" applyBorder="1" applyAlignment="1">
      <alignment horizontal="left" vertical="center" wrapText="1"/>
    </xf>
    <xf numFmtId="0" fontId="3" fillId="6" borderId="11" xfId="0" applyFont="1" applyFill="1" applyBorder="1" applyAlignment="1">
      <alignment horizontal="center" vertical="center"/>
    </xf>
    <xf numFmtId="1" fontId="3" fillId="6" borderId="22" xfId="0" applyNumberFormat="1" applyFont="1" applyFill="1" applyBorder="1" applyAlignment="1">
      <alignment horizontal="center" vertical="center"/>
    </xf>
    <xf numFmtId="0" fontId="3" fillId="6" borderId="18" xfId="0" applyFont="1" applyFill="1" applyBorder="1" applyAlignment="1">
      <alignment horizontal="left" vertical="center"/>
    </xf>
    <xf numFmtId="2" fontId="3" fillId="6" borderId="20" xfId="0" applyNumberFormat="1" applyFont="1" applyFill="1" applyBorder="1" applyAlignment="1">
      <alignment horizontal="center" vertical="center"/>
    </xf>
    <xf numFmtId="2" fontId="3" fillId="6" borderId="22" xfId="0" applyNumberFormat="1" applyFont="1" applyFill="1" applyBorder="1" applyAlignment="1">
      <alignment horizontal="center" vertical="center"/>
    </xf>
    <xf numFmtId="2" fontId="3" fillId="8" borderId="17" xfId="0" applyNumberFormat="1" applyFont="1" applyFill="1" applyBorder="1" applyAlignment="1">
      <alignment horizontal="center" vertical="center"/>
    </xf>
    <xf numFmtId="2" fontId="3" fillId="8" borderId="32" xfId="0" applyNumberFormat="1" applyFont="1" applyFill="1" applyBorder="1" applyAlignment="1">
      <alignment horizontal="center" vertical="center"/>
    </xf>
    <xf numFmtId="49" fontId="3" fillId="6" borderId="18" xfId="0" applyNumberFormat="1" applyFont="1" applyFill="1" applyBorder="1" applyAlignment="1">
      <alignment vertical="center"/>
    </xf>
    <xf numFmtId="2" fontId="3" fillId="6" borderId="21" xfId="0" applyNumberFormat="1" applyFont="1" applyFill="1" applyBorder="1" applyAlignment="1">
      <alignment horizontal="center" vertical="center"/>
    </xf>
    <xf numFmtId="0" fontId="3" fillId="6" borderId="3" xfId="0" applyFont="1" applyFill="1" applyBorder="1"/>
    <xf numFmtId="1" fontId="3" fillId="6" borderId="28" xfId="0" applyNumberFormat="1" applyFont="1" applyFill="1" applyBorder="1" applyAlignment="1">
      <alignment horizontal="center" vertical="center"/>
    </xf>
    <xf numFmtId="1" fontId="3" fillId="9" borderId="29" xfId="0" applyNumberFormat="1" applyFont="1" applyFill="1" applyBorder="1" applyAlignment="1">
      <alignment horizontal="center" vertical="center"/>
    </xf>
    <xf numFmtId="1" fontId="3" fillId="6" borderId="24" xfId="0" applyNumberFormat="1" applyFont="1" applyFill="1" applyBorder="1" applyAlignment="1">
      <alignment horizontal="center" vertical="center"/>
    </xf>
    <xf numFmtId="0" fontId="3" fillId="6" borderId="0" xfId="0" applyFont="1" applyFill="1" applyBorder="1"/>
    <xf numFmtId="0" fontId="3" fillId="6" borderId="9" xfId="0" applyFont="1" applyFill="1" applyBorder="1" applyAlignment="1">
      <alignment vertical="center"/>
    </xf>
    <xf numFmtId="0" fontId="3" fillId="6" borderId="12" xfId="0" applyFont="1" applyFill="1" applyBorder="1" applyAlignment="1">
      <alignment vertical="center"/>
    </xf>
    <xf numFmtId="49" fontId="3" fillId="6" borderId="9" xfId="0" applyNumberFormat="1" applyFont="1" applyFill="1" applyBorder="1" applyAlignment="1">
      <alignment vertical="center"/>
    </xf>
    <xf numFmtId="49" fontId="3" fillId="6" borderId="12" xfId="0" applyNumberFormat="1" applyFont="1" applyFill="1" applyBorder="1" applyAlignment="1">
      <alignment vertical="center"/>
    </xf>
    <xf numFmtId="0" fontId="3" fillId="6" borderId="5" xfId="0" applyFont="1" applyFill="1" applyBorder="1"/>
    <xf numFmtId="0" fontId="3" fillId="6" borderId="14" xfId="0" applyFont="1" applyFill="1" applyBorder="1"/>
    <xf numFmtId="0" fontId="3" fillId="6" borderId="27" xfId="0" applyFont="1" applyFill="1" applyBorder="1" applyAlignment="1">
      <alignment vertical="center"/>
    </xf>
    <xf numFmtId="0" fontId="3" fillId="0" borderId="3" xfId="0" applyFont="1" applyFill="1" applyBorder="1"/>
    <xf numFmtId="165"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5" xfId="0" applyFont="1" applyFill="1" applyBorder="1"/>
    <xf numFmtId="165" fontId="3" fillId="0" borderId="14"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9" fillId="0" borderId="0" xfId="0" applyFont="1"/>
    <xf numFmtId="0" fontId="10" fillId="0" borderId="0" xfId="0" applyFont="1"/>
    <xf numFmtId="0" fontId="3" fillId="6" borderId="33" xfId="0" applyFont="1" applyFill="1" applyBorder="1" applyAlignment="1">
      <alignment vertical="center"/>
    </xf>
    <xf numFmtId="0" fontId="7" fillId="0" borderId="19" xfId="0" applyFont="1" applyFill="1" applyBorder="1" applyAlignment="1">
      <alignment horizontal="center"/>
    </xf>
    <xf numFmtId="0" fontId="3" fillId="6" borderId="26" xfId="0" applyFont="1" applyFill="1" applyBorder="1" applyAlignment="1">
      <alignment vertical="center"/>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11" fillId="0" borderId="0" xfId="0" applyFont="1"/>
    <xf numFmtId="0" fontId="2" fillId="6" borderId="15" xfId="0" applyFont="1" applyFill="1" applyBorder="1" applyAlignment="1">
      <alignment vertical="center"/>
    </xf>
    <xf numFmtId="0" fontId="7" fillId="0" borderId="13" xfId="0" applyFont="1" applyBorder="1"/>
    <xf numFmtId="0" fontId="7" fillId="6" borderId="40" xfId="0" applyFont="1" applyFill="1" applyBorder="1"/>
    <xf numFmtId="166" fontId="4" fillId="6" borderId="37" xfId="0" applyNumberFormat="1" applyFont="1" applyFill="1" applyBorder="1" applyAlignment="1">
      <alignment horizontal="center" vertical="center"/>
    </xf>
    <xf numFmtId="166" fontId="4" fillId="6" borderId="38" xfId="0" applyNumberFormat="1" applyFont="1" applyFill="1" applyBorder="1" applyAlignment="1">
      <alignment horizontal="center" vertical="center"/>
    </xf>
    <xf numFmtId="0" fontId="3" fillId="14" borderId="17" xfId="0" applyFont="1" applyFill="1" applyBorder="1" applyAlignment="1" applyProtection="1">
      <alignment horizontal="center" vertical="center"/>
      <protection locked="0"/>
    </xf>
    <xf numFmtId="0" fontId="3" fillId="14" borderId="19" xfId="0" applyFont="1" applyFill="1" applyBorder="1" applyAlignment="1" applyProtection="1">
      <alignment horizontal="center" vertical="center"/>
      <protection locked="0"/>
    </xf>
    <xf numFmtId="0" fontId="3" fillId="14" borderId="20" xfId="0" applyFont="1" applyFill="1" applyBorder="1" applyAlignment="1" applyProtection="1">
      <alignment horizontal="center" vertical="center"/>
      <protection locked="0"/>
    </xf>
    <xf numFmtId="0" fontId="3" fillId="14" borderId="34" xfId="0" applyFont="1" applyFill="1" applyBorder="1" applyAlignment="1" applyProtection="1">
      <alignment horizontal="center" vertical="center"/>
      <protection locked="0"/>
    </xf>
    <xf numFmtId="0" fontId="3" fillId="14" borderId="39" xfId="0" applyFont="1" applyFill="1" applyBorder="1" applyAlignment="1" applyProtection="1">
      <alignment horizontal="center" vertical="center"/>
      <protection locked="0"/>
    </xf>
    <xf numFmtId="164" fontId="3" fillId="14" borderId="17" xfId="0" applyNumberFormat="1" applyFont="1" applyFill="1" applyBorder="1" applyAlignment="1" applyProtection="1">
      <alignment horizontal="center" vertical="center"/>
      <protection locked="0"/>
    </xf>
    <xf numFmtId="164" fontId="3" fillId="14" borderId="20" xfId="0" applyNumberFormat="1" applyFont="1" applyFill="1" applyBorder="1" applyAlignment="1" applyProtection="1">
      <alignment horizontal="center" vertical="center"/>
      <protection locked="0"/>
    </xf>
    <xf numFmtId="164" fontId="3" fillId="14" borderId="34" xfId="0" applyNumberFormat="1" applyFont="1" applyFill="1" applyBorder="1" applyAlignment="1" applyProtection="1">
      <alignment horizontal="center" vertical="center"/>
      <protection locked="0"/>
    </xf>
    <xf numFmtId="1" fontId="3" fillId="14" borderId="17" xfId="0" applyNumberFormat="1" applyFont="1" applyFill="1" applyBorder="1" applyAlignment="1" applyProtection="1">
      <alignment horizontal="center" vertical="center"/>
      <protection locked="0"/>
    </xf>
    <xf numFmtId="2" fontId="3" fillId="14" borderId="39" xfId="0" applyNumberFormat="1" applyFont="1" applyFill="1" applyBorder="1" applyAlignment="1" applyProtection="1">
      <alignment horizontal="center" vertical="center"/>
      <protection locked="0"/>
    </xf>
    <xf numFmtId="164" fontId="3" fillId="14" borderId="4" xfId="0" applyNumberFormat="1" applyFont="1" applyFill="1" applyBorder="1" applyAlignment="1" applyProtection="1">
      <alignment horizontal="center" vertical="center"/>
      <protection locked="0"/>
    </xf>
    <xf numFmtId="164" fontId="3" fillId="14" borderId="21" xfId="0" applyNumberFormat="1" applyFont="1" applyFill="1" applyBorder="1" applyAlignment="1" applyProtection="1">
      <alignment horizontal="center" vertical="center"/>
      <protection locked="0"/>
    </xf>
    <xf numFmtId="164" fontId="3" fillId="14" borderId="22" xfId="0" applyNumberFormat="1" applyFont="1" applyFill="1" applyBorder="1" applyAlignment="1" applyProtection="1">
      <alignment horizontal="center" vertical="center"/>
      <protection locked="0"/>
    </xf>
    <xf numFmtId="1" fontId="3" fillId="14" borderId="22" xfId="0" applyNumberFormat="1" applyFont="1" applyFill="1" applyBorder="1" applyAlignment="1" applyProtection="1">
      <alignment horizontal="center" vertical="center"/>
      <protection locked="0"/>
    </xf>
    <xf numFmtId="1" fontId="3" fillId="14" borderId="24" xfId="0" applyNumberFormat="1" applyFont="1" applyFill="1" applyBorder="1" applyAlignment="1" applyProtection="1">
      <alignment horizontal="center" vertical="center"/>
      <protection locked="0"/>
    </xf>
    <xf numFmtId="2" fontId="3" fillId="14" borderId="4" xfId="0" applyNumberFormat="1" applyFont="1" applyFill="1" applyBorder="1" applyAlignment="1" applyProtection="1">
      <alignment horizontal="center"/>
      <protection locked="0"/>
    </xf>
    <xf numFmtId="0" fontId="7" fillId="14" borderId="41" xfId="0" applyFont="1" applyFill="1" applyBorder="1" applyAlignment="1" applyProtection="1">
      <alignment horizontal="center"/>
      <protection locked="0"/>
    </xf>
    <xf numFmtId="0" fontId="1" fillId="6" borderId="15" xfId="0" applyFont="1" applyFill="1" applyBorder="1" applyAlignment="1">
      <alignment vertical="center"/>
    </xf>
    <xf numFmtId="0" fontId="3" fillId="12" borderId="42" xfId="0" applyFont="1" applyFill="1" applyBorder="1" applyAlignment="1">
      <alignment horizontal="center" vertical="center" wrapText="1"/>
    </xf>
    <xf numFmtId="0" fontId="3" fillId="13" borderId="42" xfId="0" applyFont="1" applyFill="1" applyBorder="1" applyAlignment="1">
      <alignment horizontal="center" vertical="center" wrapText="1"/>
    </xf>
    <xf numFmtId="0" fontId="6" fillId="0" borderId="0" xfId="0" applyFont="1" applyAlignment="1">
      <alignment horizontal="left" vertical="top" wrapText="1"/>
    </xf>
    <xf numFmtId="0" fontId="4" fillId="7" borderId="25"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16"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2" xfId="0" applyFont="1" applyFill="1" applyBorder="1" applyAlignment="1">
      <alignment horizontal="center" vertical="center"/>
    </xf>
    <xf numFmtId="0" fontId="13" fillId="0" borderId="0" xfId="0" applyFont="1" applyAlignment="1">
      <alignment horizontal="center"/>
    </xf>
    <xf numFmtId="0" fontId="4" fillId="6" borderId="10" xfId="0" applyFont="1" applyFill="1" applyBorder="1" applyAlignment="1">
      <alignment horizontal="center" vertical="center"/>
    </xf>
    <xf numFmtId="0" fontId="4" fillId="6" borderId="2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2"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7" borderId="3" xfId="0" applyFont="1" applyFill="1" applyBorder="1" applyAlignment="1">
      <alignment horizontal="center" vertical="center"/>
    </xf>
    <xf numFmtId="0" fontId="3" fillId="6" borderId="27" xfId="0" applyFont="1" applyFill="1" applyBorder="1" applyAlignment="1">
      <alignment vertical="center"/>
    </xf>
    <xf numFmtId="0" fontId="4" fillId="5" borderId="1"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2" xfId="0" applyFont="1" applyFill="1" applyBorder="1" applyAlignment="1">
      <alignment horizontal="center" vertical="center"/>
    </xf>
    <xf numFmtId="0" fontId="3" fillId="6" borderId="12" xfId="0" applyFont="1" applyFill="1" applyBorder="1" applyAlignment="1">
      <alignment vertical="center"/>
    </xf>
    <xf numFmtId="0" fontId="4" fillId="15" borderId="1" xfId="0" applyFont="1" applyFill="1" applyBorder="1" applyAlignment="1">
      <alignment horizontal="center" vertical="center" wrapText="1"/>
    </xf>
    <xf numFmtId="0" fontId="4" fillId="15" borderId="2" xfId="0" applyFont="1" applyFill="1" applyBorder="1" applyAlignment="1">
      <alignment horizontal="center" vertical="center" wrapText="1"/>
    </xf>
    <xf numFmtId="49" fontId="3" fillId="6" borderId="12" xfId="0" applyNumberFormat="1" applyFont="1" applyFill="1" applyBorder="1" applyAlignment="1">
      <alignment vertical="center"/>
    </xf>
    <xf numFmtId="0" fontId="12" fillId="0" borderId="0" xfId="0" applyFont="1" applyAlignment="1">
      <alignment horizontal="center"/>
    </xf>
    <xf numFmtId="0" fontId="4" fillId="11" borderId="6" xfId="0" applyFont="1" applyFill="1" applyBorder="1" applyAlignment="1">
      <alignment horizontal="center" vertical="center"/>
    </xf>
    <xf numFmtId="0" fontId="4" fillId="11" borderId="2" xfId="0" applyFont="1" applyFill="1" applyBorder="1" applyAlignment="1">
      <alignment horizontal="center" vertical="center"/>
    </xf>
    <xf numFmtId="0" fontId="4" fillId="4" borderId="3" xfId="0" applyFont="1" applyFill="1" applyBorder="1" applyAlignment="1">
      <alignment horizontal="center" vertical="center"/>
    </xf>
  </cellXfs>
  <cellStyles count="1">
    <cellStyle name="Normal" xfId="0" builtinId="0"/>
  </cellStyles>
  <dxfs count="1">
    <dxf>
      <font>
        <color rgb="FFFF000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106</xdr:row>
      <xdr:rowOff>95250</xdr:rowOff>
    </xdr:from>
    <xdr:to>
      <xdr:col>7</xdr:col>
      <xdr:colOff>14287</xdr:colOff>
      <xdr:row>110</xdr:row>
      <xdr:rowOff>126023</xdr:rowOff>
    </xdr:to>
    <xdr:sp macro="" textlink="">
      <xdr:nvSpPr>
        <xdr:cNvPr id="2" name="Rectangle 1"/>
        <xdr:cNvSpPr>
          <a:spLocks noChangeArrowheads="1"/>
        </xdr:cNvSpPr>
      </xdr:nvSpPr>
      <xdr:spPr bwMode="auto">
        <a:xfrm>
          <a:off x="0" y="6487583"/>
          <a:ext cx="8417454" cy="623440"/>
        </a:xfrm>
        <a:prstGeom prst="rect">
          <a:avLst/>
        </a:prstGeom>
        <a:solidFill>
          <a:schemeClr val="bg1"/>
        </a:solidFill>
        <a:ln w="12700">
          <a:solidFill>
            <a:schemeClr val="tx2">
              <a:lumMod val="75000"/>
            </a:schemeClr>
          </a:solid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altLang="en-US" sz="1200">
              <a:latin typeface="Arial" charset="0"/>
              <a:cs typeface="Arial" charset="0"/>
            </a:rPr>
            <a:t>This project was supported by the Northeastern States Research Cooperative through funding made available by the USDA Forest Service. The conclusions and opinions in this work are those of the authors and not the NSRC, the Forest Service, or the USDA. </a:t>
          </a:r>
          <a:r>
            <a:rPr lang="en-US" sz="1200">
              <a:latin typeface="Arial" pitchFamily="34" charset="0"/>
              <a:cs typeface="Arial" pitchFamily="34" charset="0"/>
            </a:rPr>
            <a:t>http://www.nsrcforest.org </a:t>
          </a:r>
        </a:p>
      </xdr:txBody>
    </xdr:sp>
    <xdr:clientData/>
  </xdr:twoCellAnchor>
  <xdr:oneCellAnchor>
    <xdr:from>
      <xdr:col>2</xdr:col>
      <xdr:colOff>317500</xdr:colOff>
      <xdr:row>3</xdr:row>
      <xdr:rowOff>2</xdr:rowOff>
    </xdr:from>
    <xdr:ext cx="4783667" cy="1037166"/>
    <xdr:sp macro="" textlink="">
      <xdr:nvSpPr>
        <xdr:cNvPr id="3" name="TextBox 2"/>
        <xdr:cNvSpPr txBox="1"/>
      </xdr:nvSpPr>
      <xdr:spPr>
        <a:xfrm>
          <a:off x="4455583" y="613835"/>
          <a:ext cx="4783667" cy="1037166"/>
        </a:xfrm>
        <a:prstGeom prst="rect">
          <a:avLst/>
        </a:prstGeom>
        <a:solidFill>
          <a:schemeClr val="accent3">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lang="en-US" sz="1050" b="1">
              <a:latin typeface="Arial" panose="020B0604020202020204" pitchFamily="34" charset="0"/>
              <a:cs typeface="Arial" panose="020B0604020202020204" pitchFamily="34" charset="0"/>
            </a:rPr>
            <a:t>Instructions: </a:t>
          </a:r>
          <a:r>
            <a:rPr lang="en-US" sz="1050">
              <a:latin typeface="Arial" panose="020B0604020202020204" pitchFamily="34" charset="0"/>
              <a:cs typeface="Arial" panose="020B0604020202020204" pitchFamily="34" charset="0"/>
            </a:rPr>
            <a:t>Enter values for your equipment and operation in the blue boxes.  Values output in bold text are the estimated average annual net revenues (or losses) over 10 years if birch syrup is produced in the unit size indicated and sold at either current retail or wholesale prices.  The number of units of each size, and the estimated costs of producing each of these units,</a:t>
          </a:r>
          <a:r>
            <a:rPr lang="en-US" sz="1050" baseline="0">
              <a:latin typeface="Arial" panose="020B0604020202020204" pitchFamily="34" charset="0"/>
              <a:cs typeface="Arial" panose="020B0604020202020204" pitchFamily="34" charset="0"/>
            </a:rPr>
            <a:t> </a:t>
          </a:r>
          <a:r>
            <a:rPr lang="en-US" sz="1050">
              <a:latin typeface="Arial" panose="020B0604020202020204" pitchFamily="34" charset="0"/>
              <a:cs typeface="Arial" panose="020B0604020202020204" pitchFamily="34" charset="0"/>
            </a:rPr>
            <a:t>are also displayed. </a:t>
          </a:r>
        </a:p>
      </xdr:txBody>
    </xdr:sp>
    <xdr:clientData/>
  </xdr:one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O112"/>
  <sheetViews>
    <sheetView tabSelected="1" zoomScale="125" zoomScaleNormal="90" zoomScalePageLayoutView="90" workbookViewId="0">
      <selection activeCell="B5" sqref="B5"/>
    </sheetView>
  </sheetViews>
  <sheetFormatPr baseColWidth="10" defaultColWidth="0" defaultRowHeight="409.6" zeroHeight="1"/>
  <cols>
    <col min="1" max="1" width="48" style="22" customWidth="1"/>
    <col min="2" max="2" width="14.1640625" style="22" customWidth="1"/>
    <col min="3" max="3" width="12.5" style="22" bestFit="1" customWidth="1"/>
    <col min="4" max="4" width="12.83203125" style="22" customWidth="1"/>
    <col min="5" max="5" width="12.6640625" style="22" customWidth="1"/>
    <col min="6" max="6" width="14.5" style="22" customWidth="1"/>
    <col min="7" max="7" width="11.5" style="22" customWidth="1"/>
    <col min="8" max="8" width="12.5" style="22" customWidth="1"/>
    <col min="9" max="9" width="16.1640625" style="22" hidden="1" customWidth="1"/>
    <col min="10" max="10" width="28.5" style="22" hidden="1" customWidth="1"/>
    <col min="11" max="11" width="11.6640625" style="22" hidden="1" customWidth="1"/>
    <col min="12" max="12" width="0" style="1" hidden="1" customWidth="1"/>
    <col min="13" max="14" width="0" style="22" hidden="1" customWidth="1"/>
    <col min="15" max="15" width="9.1640625" style="22" customWidth="1"/>
    <col min="16" max="16384" width="9.1640625" style="22" hidden="1"/>
  </cols>
  <sheetData>
    <row r="1" spans="1:11" ht="17">
      <c r="A1" s="137" t="s">
        <v>45</v>
      </c>
      <c r="B1" s="137"/>
      <c r="C1" s="137"/>
      <c r="D1" s="137"/>
      <c r="E1" s="137"/>
      <c r="F1" s="137"/>
      <c r="G1" s="137"/>
      <c r="H1" s="137"/>
    </row>
    <row r="2" spans="1:11" ht="17">
      <c r="A2" s="116" t="s">
        <v>46</v>
      </c>
      <c r="B2" s="116"/>
      <c r="C2" s="116"/>
      <c r="D2" s="116"/>
      <c r="E2" s="116"/>
      <c r="F2" s="116"/>
      <c r="G2" s="116"/>
      <c r="H2" s="116"/>
    </row>
    <row r="3" spans="1:11" ht="14" thickBot="1"/>
    <row r="4" spans="1:11" ht="22.5" customHeight="1" thickBot="1">
      <c r="A4" s="122" t="s">
        <v>36</v>
      </c>
      <c r="B4" s="121"/>
    </row>
    <row r="5" spans="1:11" ht="15" thickTop="1" thickBot="1">
      <c r="A5" s="81" t="s">
        <v>40</v>
      </c>
      <c r="B5" s="90">
        <v>200</v>
      </c>
    </row>
    <row r="6" spans="1:11" ht="14" hidden="1" thickTop="1">
      <c r="A6" s="24" t="s">
        <v>58</v>
      </c>
      <c r="B6" s="91">
        <f>B5*16.7</f>
        <v>3340</v>
      </c>
    </row>
    <row r="7" spans="1:11" ht="13" hidden="1">
      <c r="A7" s="24" t="s">
        <v>115</v>
      </c>
      <c r="B7" s="92">
        <v>21</v>
      </c>
    </row>
    <row r="8" spans="1:11" ht="14" hidden="1" thickBot="1">
      <c r="A8" s="24" t="s">
        <v>66</v>
      </c>
      <c r="B8" s="93">
        <v>0.74</v>
      </c>
    </row>
    <row r="9" spans="1:11" ht="15" thickTop="1" thickBot="1">
      <c r="A9" s="23" t="s">
        <v>39</v>
      </c>
      <c r="B9" s="90">
        <v>600</v>
      </c>
      <c r="C9" s="1"/>
    </row>
    <row r="10" spans="1:11" ht="15" hidden="1" thickTop="1" thickBot="1">
      <c r="A10" s="23" t="s">
        <v>52</v>
      </c>
      <c r="B10" s="94">
        <v>75</v>
      </c>
      <c r="C10" s="1"/>
    </row>
    <row r="11" spans="1:11" ht="15" thickTop="1" thickBot="1">
      <c r="A11" s="23" t="s">
        <v>56</v>
      </c>
      <c r="B11" s="95">
        <v>10.35</v>
      </c>
      <c r="C11" s="1"/>
      <c r="D11" s="1"/>
      <c r="G11" s="1"/>
      <c r="H11" s="1"/>
      <c r="I11" s="1"/>
      <c r="J11" s="1"/>
      <c r="K11" s="1"/>
    </row>
    <row r="12" spans="1:11" ht="14" hidden="1" thickTop="1">
      <c r="A12" s="24" t="s">
        <v>53</v>
      </c>
      <c r="B12" s="91">
        <f>B8/((100-B10)/100)</f>
        <v>2.96</v>
      </c>
      <c r="C12" s="1"/>
      <c r="D12" s="1"/>
    </row>
    <row r="13" spans="1:11" ht="13" hidden="1">
      <c r="A13" s="24" t="s">
        <v>69</v>
      </c>
      <c r="B13" s="92">
        <f>B6*((100-B10)/100)</f>
        <v>835</v>
      </c>
      <c r="C13" s="1"/>
      <c r="D13" s="1"/>
      <c r="K13" s="1"/>
    </row>
    <row r="14" spans="1:11" ht="13" hidden="1">
      <c r="A14" s="24" t="s">
        <v>54</v>
      </c>
      <c r="B14" s="96">
        <f>B12/((100-B10)/100)</f>
        <v>11.84</v>
      </c>
      <c r="C14" s="1"/>
      <c r="D14" s="1"/>
    </row>
    <row r="15" spans="1:11" ht="13" hidden="1">
      <c r="A15" s="25" t="s">
        <v>28</v>
      </c>
      <c r="B15" s="96">
        <f>B13*((100-B10)/100)</f>
        <v>208.75</v>
      </c>
      <c r="C15" s="1"/>
      <c r="D15" s="1"/>
    </row>
    <row r="16" spans="1:11" ht="13" hidden="1">
      <c r="A16" s="24" t="s">
        <v>70</v>
      </c>
      <c r="B16" s="96">
        <f>(B6*(B10/100))+(B13*(B10/100))</f>
        <v>3131.25</v>
      </c>
      <c r="C16" s="1"/>
      <c r="D16" s="1"/>
    </row>
    <row r="17" spans="1:11" ht="13" hidden="1">
      <c r="A17" s="24" t="s">
        <v>51</v>
      </c>
      <c r="B17" s="92">
        <f>B9*((100-B10)/100)</f>
        <v>150</v>
      </c>
      <c r="C17" s="1"/>
      <c r="D17" s="1"/>
    </row>
    <row r="18" spans="1:11" ht="13" hidden="1">
      <c r="A18" s="24" t="s">
        <v>60</v>
      </c>
      <c r="B18" s="96">
        <f>(B6/B9)+(B13/B9)</f>
        <v>6.958333333333333</v>
      </c>
      <c r="C18" s="1"/>
      <c r="D18" s="1"/>
    </row>
    <row r="19" spans="1:11" ht="13" hidden="1">
      <c r="A19" s="24" t="s">
        <v>59</v>
      </c>
      <c r="B19" s="96">
        <f>B20+B18</f>
        <v>9.9504166666666656</v>
      </c>
      <c r="C19" s="1"/>
      <c r="D19" s="1"/>
    </row>
    <row r="20" spans="1:11" ht="14" hidden="1" thickBot="1">
      <c r="A20" s="24" t="s">
        <v>57</v>
      </c>
      <c r="B20" s="97">
        <f>B18*0.43</f>
        <v>2.992083333333333</v>
      </c>
      <c r="C20" s="1"/>
      <c r="D20" s="1"/>
      <c r="E20" s="1"/>
    </row>
    <row r="21" spans="1:11" ht="15" thickTop="1" thickBot="1">
      <c r="A21" s="23" t="s">
        <v>37</v>
      </c>
      <c r="B21" s="98">
        <v>8</v>
      </c>
      <c r="C21" s="1"/>
    </row>
    <row r="22" spans="1:11" ht="15" thickTop="1" thickBot="1">
      <c r="A22" s="23" t="s">
        <v>38</v>
      </c>
      <c r="B22" s="98">
        <v>100</v>
      </c>
      <c r="C22" s="1"/>
    </row>
    <row r="23" spans="1:11" ht="15" hidden="1" thickTop="1" thickBot="1">
      <c r="A23" s="107" t="s">
        <v>50</v>
      </c>
      <c r="B23" s="99">
        <v>0.71</v>
      </c>
      <c r="C23" s="1"/>
    </row>
    <row r="24" spans="1:11" ht="15" hidden="1" thickTop="1" thickBot="1">
      <c r="A24" s="23" t="s">
        <v>55</v>
      </c>
      <c r="B24" s="95">
        <v>3.7949999999999999</v>
      </c>
      <c r="C24" s="1"/>
    </row>
    <row r="25" spans="1:11" ht="14" hidden="1" thickTop="1">
      <c r="A25" s="85" t="s">
        <v>47</v>
      </c>
      <c r="B25" s="100">
        <v>2.2000000000000002</v>
      </c>
      <c r="C25" s="1"/>
    </row>
    <row r="26" spans="1:11" ht="13" hidden="1">
      <c r="A26" s="24" t="s">
        <v>118</v>
      </c>
      <c r="B26" s="101">
        <f>B15-(B15/((88.2/B14)-0.32))</f>
        <v>179.46952537104082</v>
      </c>
      <c r="C26" s="1"/>
    </row>
    <row r="27" spans="1:11" ht="13" hidden="1">
      <c r="A27" s="24" t="s">
        <v>119</v>
      </c>
      <c r="B27" s="102">
        <f>B26/B22</f>
        <v>1.7946952537104082</v>
      </c>
      <c r="C27" s="1"/>
      <c r="D27" s="1"/>
    </row>
    <row r="28" spans="1:11" ht="13" hidden="1">
      <c r="A28" s="24" t="s">
        <v>117</v>
      </c>
      <c r="B28" s="102">
        <f>B21*B27</f>
        <v>14.357562029683265</v>
      </c>
      <c r="C28" s="1"/>
      <c r="D28" s="1"/>
      <c r="G28" s="1"/>
      <c r="H28" s="1"/>
      <c r="I28" s="1"/>
      <c r="J28" s="1"/>
      <c r="K28" s="1"/>
    </row>
    <row r="29" spans="1:11" ht="13" hidden="1">
      <c r="A29" s="24" t="s">
        <v>120</v>
      </c>
      <c r="B29" s="102">
        <f>B6/((88.2/B8)-0.32)</f>
        <v>28.098113756661874</v>
      </c>
      <c r="C29" s="1"/>
      <c r="D29" s="1"/>
      <c r="G29" s="1"/>
      <c r="H29" s="1"/>
      <c r="I29" s="1"/>
      <c r="J29" s="1"/>
      <c r="K29" s="1"/>
    </row>
    <row r="30" spans="1:11" ht="13" hidden="1">
      <c r="A30" s="24" t="s">
        <v>114</v>
      </c>
      <c r="B30" s="103">
        <v>10</v>
      </c>
      <c r="C30" s="1"/>
      <c r="D30" s="1"/>
      <c r="G30" s="1"/>
      <c r="H30" s="1"/>
      <c r="I30" s="1"/>
      <c r="J30" s="1"/>
      <c r="K30" s="1"/>
    </row>
    <row r="31" spans="1:11" ht="13" hidden="1">
      <c r="A31" s="24" t="s">
        <v>61</v>
      </c>
      <c r="B31" s="103">
        <v>20</v>
      </c>
      <c r="C31" s="1"/>
      <c r="D31" s="1"/>
    </row>
    <row r="32" spans="1:11" ht="14" hidden="1" thickBot="1">
      <c r="A32" s="26" t="s">
        <v>62</v>
      </c>
      <c r="B32" s="104">
        <f>B19+B27+(B29/40+2)</f>
        <v>14.44756476429362</v>
      </c>
      <c r="C32" s="1"/>
      <c r="D32" s="1"/>
      <c r="F32" s="11"/>
      <c r="G32" s="11"/>
      <c r="H32" s="11"/>
      <c r="I32" s="11"/>
      <c r="J32" s="11"/>
    </row>
    <row r="33" spans="1:14" ht="14" hidden="1" thickBot="1">
      <c r="A33" s="59"/>
      <c r="B33" s="105"/>
      <c r="F33" s="12"/>
      <c r="G33" s="12"/>
      <c r="H33" s="11"/>
      <c r="I33" s="11"/>
      <c r="J33" s="11"/>
    </row>
    <row r="34" spans="1:14" ht="15" thickTop="1" thickBot="1">
      <c r="A34" s="87" t="s">
        <v>41</v>
      </c>
      <c r="B34" s="106">
        <v>1</v>
      </c>
      <c r="G34" s="12"/>
      <c r="H34" s="11"/>
      <c r="I34" s="11"/>
      <c r="J34" s="11"/>
    </row>
    <row r="35" spans="1:14" ht="13" hidden="1">
      <c r="A35" s="86" t="s">
        <v>71</v>
      </c>
      <c r="B35" s="80">
        <f>B34</f>
        <v>1</v>
      </c>
      <c r="F35" s="12"/>
      <c r="G35" s="12"/>
      <c r="H35" s="11"/>
      <c r="I35" s="11"/>
      <c r="J35" s="11"/>
    </row>
    <row r="36" spans="1:14" ht="14" hidden="1" thickBot="1">
      <c r="A36" s="15" t="s">
        <v>72</v>
      </c>
      <c r="B36" s="14">
        <f>B34</f>
        <v>1</v>
      </c>
      <c r="F36" s="12"/>
      <c r="G36" s="12"/>
      <c r="H36" s="11"/>
      <c r="I36" s="11"/>
      <c r="J36" s="11"/>
    </row>
    <row r="37" spans="1:14" ht="12" hidden="1">
      <c r="A37" s="127" t="s">
        <v>12</v>
      </c>
      <c r="B37" s="120"/>
      <c r="C37" s="120"/>
      <c r="D37" s="120"/>
      <c r="E37" s="121"/>
      <c r="F37" s="123"/>
      <c r="G37" s="123"/>
      <c r="H37" s="124"/>
      <c r="I37" s="120"/>
      <c r="J37" s="120"/>
      <c r="K37" s="121"/>
      <c r="L37" s="138"/>
      <c r="M37" s="138"/>
      <c r="N37" s="139"/>
    </row>
    <row r="38" spans="1:14" ht="12" hidden="1">
      <c r="A38" s="128" t="s">
        <v>13</v>
      </c>
      <c r="B38" s="125"/>
      <c r="C38" s="125"/>
      <c r="D38" s="125"/>
      <c r="E38" s="126"/>
      <c r="F38" s="125"/>
      <c r="G38" s="125"/>
      <c r="H38" s="126"/>
      <c r="I38" s="125"/>
      <c r="J38" s="125"/>
      <c r="K38" s="126"/>
      <c r="L38" s="125"/>
      <c r="M38" s="125"/>
      <c r="N38" s="126"/>
    </row>
    <row r="39" spans="1:14" ht="169" hidden="1" thickBot="1">
      <c r="A39" s="10" t="s">
        <v>64</v>
      </c>
      <c r="B39" s="5" t="s">
        <v>10</v>
      </c>
      <c r="C39" s="5" t="s">
        <v>89</v>
      </c>
      <c r="D39" s="13" t="s">
        <v>88</v>
      </c>
      <c r="E39" s="6" t="s">
        <v>9</v>
      </c>
      <c r="F39" s="5" t="s">
        <v>10</v>
      </c>
      <c r="G39" s="5" t="s">
        <v>89</v>
      </c>
      <c r="H39" s="6" t="s">
        <v>9</v>
      </c>
      <c r="I39" s="5" t="s">
        <v>10</v>
      </c>
      <c r="J39" s="5" t="s">
        <v>89</v>
      </c>
      <c r="K39" s="6" t="s">
        <v>9</v>
      </c>
      <c r="L39" s="5" t="s">
        <v>10</v>
      </c>
      <c r="M39" s="5" t="s">
        <v>89</v>
      </c>
      <c r="N39" s="6" t="s">
        <v>9</v>
      </c>
    </row>
    <row r="40" spans="1:14" ht="13" hidden="1" thickBot="1">
      <c r="A40" s="23" t="s">
        <v>90</v>
      </c>
      <c r="B40" s="27">
        <v>3.86</v>
      </c>
      <c r="C40" s="28">
        <f>$B$27*$B$21</f>
        <v>14.357562029683265</v>
      </c>
      <c r="D40" s="29" t="s">
        <v>80</v>
      </c>
      <c r="E40" s="30">
        <f>B40*C40</f>
        <v>55.420189434577402</v>
      </c>
      <c r="F40" s="31">
        <f>$B$40</f>
        <v>3.86</v>
      </c>
      <c r="G40" s="28">
        <f>$B$27*$B$21</f>
        <v>14.357562029683265</v>
      </c>
      <c r="H40" s="30">
        <f>F40*G40</f>
        <v>55.420189434577402</v>
      </c>
      <c r="I40" s="31">
        <f>$B$40</f>
        <v>3.86</v>
      </c>
      <c r="J40" s="28">
        <f>$B$27*$B$21</f>
        <v>14.357562029683265</v>
      </c>
      <c r="K40" s="30">
        <f>I40*J40</f>
        <v>55.420189434577402</v>
      </c>
      <c r="L40" s="31">
        <f>$B$40</f>
        <v>3.86</v>
      </c>
      <c r="M40" s="28">
        <f>$B$27*$B$21</f>
        <v>14.357562029683265</v>
      </c>
      <c r="N40" s="30">
        <f>L40*M40</f>
        <v>55.420189434577402</v>
      </c>
    </row>
    <row r="41" spans="1:14" ht="12" hidden="1">
      <c r="A41" s="24" t="s">
        <v>91</v>
      </c>
      <c r="B41" s="32">
        <v>3.39</v>
      </c>
      <c r="C41" s="4">
        <f>$B$29/40+2</f>
        <v>2.7024528439165469</v>
      </c>
      <c r="D41" s="29" t="s">
        <v>80</v>
      </c>
      <c r="E41" s="30">
        <f>B41*C41*B25</f>
        <v>20.154893309929612</v>
      </c>
      <c r="F41" s="31">
        <f>$B$41</f>
        <v>3.39</v>
      </c>
      <c r="G41" s="4">
        <f>$B$29/40+2</f>
        <v>2.7024528439165469</v>
      </c>
      <c r="H41" s="30">
        <f>F41*G41*B25</f>
        <v>20.154893309929612</v>
      </c>
      <c r="I41" s="31">
        <f>$B$41</f>
        <v>3.39</v>
      </c>
      <c r="J41" s="4">
        <f>$B$29/40+2</f>
        <v>2.7024528439165469</v>
      </c>
      <c r="K41" s="30">
        <f>I41*J41*B25</f>
        <v>20.154893309929612</v>
      </c>
      <c r="L41" s="31">
        <f>$B$41</f>
        <v>3.39</v>
      </c>
      <c r="M41" s="4">
        <f>$B$29/40+2</f>
        <v>2.7024528439165469</v>
      </c>
      <c r="N41" s="30">
        <f>L41*M41*B25</f>
        <v>20.154893309929612</v>
      </c>
    </row>
    <row r="42" spans="1:14" ht="12" hidden="1">
      <c r="A42" s="24" t="s">
        <v>92</v>
      </c>
      <c r="B42" s="33">
        <v>3.36</v>
      </c>
      <c r="C42" s="29">
        <f>$B$23*C49</f>
        <v>28.319131974075518</v>
      </c>
      <c r="D42" s="29" t="s">
        <v>80</v>
      </c>
      <c r="E42" s="30">
        <f>C42*B42</f>
        <v>95.152283432893739</v>
      </c>
      <c r="F42" s="31">
        <f>$B$42</f>
        <v>3.36</v>
      </c>
      <c r="G42" s="29">
        <f>$B$23*G49</f>
        <v>4.7868772746845663</v>
      </c>
      <c r="H42" s="30">
        <f>G42*F42</f>
        <v>16.083907642940144</v>
      </c>
      <c r="I42" s="31">
        <f>$B$42</f>
        <v>3.36</v>
      </c>
      <c r="J42" s="29">
        <f>$B$23*J49</f>
        <v>1.1969797725172298</v>
      </c>
      <c r="K42" s="30">
        <f>J42*I42</f>
        <v>4.0218520356578917</v>
      </c>
      <c r="L42" s="31">
        <f>$B$42</f>
        <v>3.36</v>
      </c>
      <c r="M42" s="29">
        <f>$B$23*M49</f>
        <v>0.29924491150844895</v>
      </c>
      <c r="N42" s="30">
        <f>M42*L42</f>
        <v>1.0054629026683883</v>
      </c>
    </row>
    <row r="43" spans="1:14" ht="12" hidden="1">
      <c r="A43" s="24" t="s">
        <v>93</v>
      </c>
      <c r="B43" s="33">
        <v>0.1741</v>
      </c>
      <c r="C43" s="34">
        <f>$B$24*($B$7*24)</f>
        <v>1912.68</v>
      </c>
      <c r="D43" s="34" t="s">
        <v>83</v>
      </c>
      <c r="E43" s="35">
        <f>C43*B43</f>
        <v>332.99758800000001</v>
      </c>
      <c r="F43" s="31">
        <f>$B$43</f>
        <v>0.1741</v>
      </c>
      <c r="G43" s="34">
        <f>$B$24*($B$7*24)</f>
        <v>1912.68</v>
      </c>
      <c r="H43" s="35">
        <f>G43*F43</f>
        <v>332.99758800000001</v>
      </c>
      <c r="I43" s="31">
        <f>$B$43</f>
        <v>0.1741</v>
      </c>
      <c r="J43" s="34">
        <f>$B$24*($B$7*24)</f>
        <v>1912.68</v>
      </c>
      <c r="K43" s="35">
        <f>J43*I43</f>
        <v>332.99758800000001</v>
      </c>
      <c r="L43" s="31">
        <f>$B$43</f>
        <v>0.1741</v>
      </c>
      <c r="M43" s="34">
        <f>$B$24*($B$7*24)</f>
        <v>1912.68</v>
      </c>
      <c r="N43" s="35">
        <f>M43*L43</f>
        <v>332.99758800000001</v>
      </c>
    </row>
    <row r="44" spans="1:14" ht="12" hidden="1">
      <c r="A44" s="24" t="s">
        <v>94</v>
      </c>
      <c r="B44" s="31">
        <f>B43</f>
        <v>0.1741</v>
      </c>
      <c r="C44" s="34">
        <f>$B$11*($B$19+$B$20)</f>
        <v>133.95487499999999</v>
      </c>
      <c r="D44" s="34" t="s">
        <v>83</v>
      </c>
      <c r="E44" s="35">
        <f>B44*C44</f>
        <v>23.321543737499997</v>
      </c>
      <c r="F44" s="31">
        <f>F43</f>
        <v>0.1741</v>
      </c>
      <c r="G44" s="34">
        <f>$B$11*($B$19+$B$20)</f>
        <v>133.95487499999999</v>
      </c>
      <c r="H44" s="35">
        <f>F44*G44</f>
        <v>23.321543737499997</v>
      </c>
      <c r="I44" s="31">
        <f>I43</f>
        <v>0.1741</v>
      </c>
      <c r="J44" s="34">
        <f>$B$11*($B$19+$B$20)</f>
        <v>133.95487499999999</v>
      </c>
      <c r="K44" s="35">
        <f>I44*J44</f>
        <v>23.321543737499997</v>
      </c>
      <c r="L44" s="31">
        <f>L43</f>
        <v>0.1741</v>
      </c>
      <c r="M44" s="34">
        <f>$B$11*($B$19+$B$20)</f>
        <v>133.95487499999999</v>
      </c>
      <c r="N44" s="35">
        <f>L44*M44</f>
        <v>23.321543737499997</v>
      </c>
    </row>
    <row r="45" spans="1:14" ht="12" hidden="1">
      <c r="A45" s="24" t="s">
        <v>95</v>
      </c>
      <c r="B45" s="31">
        <v>20</v>
      </c>
      <c r="C45" s="36">
        <f>$B$32+$B$31</f>
        <v>34.447564764293617</v>
      </c>
      <c r="D45" s="36" t="s">
        <v>84</v>
      </c>
      <c r="E45" s="35">
        <f>C45*B45*$B$36</f>
        <v>688.95129528587233</v>
      </c>
      <c r="F45" s="31">
        <f>$B$45</f>
        <v>20</v>
      </c>
      <c r="G45" s="36">
        <f>$B$32+$B$31</f>
        <v>34.447564764293617</v>
      </c>
      <c r="H45" s="35">
        <f>G45*F45*$B$36</f>
        <v>688.95129528587233</v>
      </c>
      <c r="I45" s="31">
        <f>$B$45</f>
        <v>20</v>
      </c>
      <c r="J45" s="36">
        <f>$B$32+$B$31</f>
        <v>34.447564764293617</v>
      </c>
      <c r="K45" s="35">
        <f>J45*I45*$B$36</f>
        <v>688.95129528587233</v>
      </c>
      <c r="L45" s="31">
        <f>$B$45</f>
        <v>20</v>
      </c>
      <c r="M45" s="36">
        <f>$B$32+$B$31</f>
        <v>34.447564764293617</v>
      </c>
      <c r="N45" s="35">
        <f>M45*L45*$B$36</f>
        <v>688.95129528587233</v>
      </c>
    </row>
    <row r="46" spans="1:14" ht="12" hidden="1">
      <c r="A46" s="24" t="s">
        <v>96</v>
      </c>
      <c r="B46" s="31">
        <v>20</v>
      </c>
      <c r="C46" s="31">
        <f>$B$5/40</f>
        <v>5</v>
      </c>
      <c r="D46" s="36" t="s">
        <v>84</v>
      </c>
      <c r="E46" s="37">
        <f>B46*C46*$B$34</f>
        <v>100</v>
      </c>
      <c r="F46" s="31">
        <f>$B$46</f>
        <v>20</v>
      </c>
      <c r="G46" s="31">
        <f>$B$5/40</f>
        <v>5</v>
      </c>
      <c r="H46" s="37">
        <f>F46*G46*$B$34</f>
        <v>100</v>
      </c>
      <c r="I46" s="31">
        <f>$B$46</f>
        <v>20</v>
      </c>
      <c r="J46" s="31">
        <f>$B$5/40</f>
        <v>5</v>
      </c>
      <c r="K46" s="37">
        <f>I46*J46*$B$34</f>
        <v>100</v>
      </c>
      <c r="L46" s="31">
        <f>$B$46</f>
        <v>20</v>
      </c>
      <c r="M46" s="31">
        <f>$B$5/40</f>
        <v>5</v>
      </c>
      <c r="N46" s="37">
        <f>L46*M46*$B$34</f>
        <v>100</v>
      </c>
    </row>
    <row r="47" spans="1:14" ht="12" hidden="1">
      <c r="A47" s="24" t="s">
        <v>97</v>
      </c>
      <c r="B47" s="31">
        <v>20</v>
      </c>
      <c r="C47" s="31">
        <f>$B$5*0.1314</f>
        <v>26.279999999999998</v>
      </c>
      <c r="D47" s="36" t="s">
        <v>84</v>
      </c>
      <c r="E47" s="37">
        <f>B47*C47*$B$34</f>
        <v>525.59999999999991</v>
      </c>
      <c r="F47" s="31">
        <f>$B$47</f>
        <v>20</v>
      </c>
      <c r="G47" s="31">
        <f>$B$5*0.1314</f>
        <v>26.279999999999998</v>
      </c>
      <c r="H47" s="37">
        <f>F47*G47*$B$34</f>
        <v>525.59999999999991</v>
      </c>
      <c r="I47" s="31">
        <f>$B$47</f>
        <v>20</v>
      </c>
      <c r="J47" s="31">
        <f>$B$5*0.1314</f>
        <v>26.279999999999998</v>
      </c>
      <c r="K47" s="37">
        <f>I47*J47*$B$34</f>
        <v>525.59999999999991</v>
      </c>
      <c r="L47" s="31">
        <f>$B$47</f>
        <v>20</v>
      </c>
      <c r="M47" s="31">
        <f>$B$5*0.1314</f>
        <v>26.279999999999998</v>
      </c>
      <c r="N47" s="37">
        <f>L47*M47*$B$34</f>
        <v>525.59999999999991</v>
      </c>
    </row>
    <row r="48" spans="1:14" ht="12" hidden="1">
      <c r="A48" s="24" t="s">
        <v>98</v>
      </c>
      <c r="B48" s="31">
        <v>20</v>
      </c>
      <c r="C48" s="31">
        <v>5</v>
      </c>
      <c r="D48" s="36" t="s">
        <v>84</v>
      </c>
      <c r="E48" s="37">
        <f>C48*B48*$B$36</f>
        <v>100</v>
      </c>
      <c r="F48" s="31">
        <f>$B$48</f>
        <v>20</v>
      </c>
      <c r="G48" s="31">
        <v>5</v>
      </c>
      <c r="H48" s="37">
        <f>G48*F48*$B$36</f>
        <v>100</v>
      </c>
      <c r="I48" s="31">
        <f>$B$48</f>
        <v>20</v>
      </c>
      <c r="J48" s="31">
        <v>5</v>
      </c>
      <c r="K48" s="37">
        <f>J48*I48*$B$36</f>
        <v>100</v>
      </c>
      <c r="L48" s="31">
        <f>$B$48</f>
        <v>20</v>
      </c>
      <c r="M48" s="31">
        <v>5</v>
      </c>
      <c r="N48" s="37">
        <f>M48*L48*$B$36</f>
        <v>100</v>
      </c>
    </row>
    <row r="49" spans="1:14" ht="12" hidden="1">
      <c r="A49" s="24" t="s">
        <v>99</v>
      </c>
      <c r="B49" s="31">
        <v>20</v>
      </c>
      <c r="C49" s="34">
        <f>B66/60</f>
        <v>39.88610137193735</v>
      </c>
      <c r="D49" s="36" t="s">
        <v>84</v>
      </c>
      <c r="E49" s="30">
        <f>C49*B49*$B$35</f>
        <v>797.72202743874698</v>
      </c>
      <c r="F49" s="31">
        <f>$B$49</f>
        <v>20</v>
      </c>
      <c r="G49" s="34">
        <f>F66/60</f>
        <v>6.7420806685698116</v>
      </c>
      <c r="H49" s="30">
        <f>G49*F49*$B$35</f>
        <v>134.84161337139622</v>
      </c>
      <c r="I49" s="31">
        <f>$B$49</f>
        <v>20</v>
      </c>
      <c r="J49" s="34">
        <f>I66/60</f>
        <v>1.6858870035453941</v>
      </c>
      <c r="K49" s="30">
        <f>J49*I49*$B$35</f>
        <v>33.71774007090788</v>
      </c>
      <c r="L49" s="31">
        <f>$B$49</f>
        <v>20</v>
      </c>
      <c r="M49" s="34">
        <f>L66/60</f>
        <v>0.42147170634992814</v>
      </c>
      <c r="N49" s="30">
        <f>M49*L49*$B$35</f>
        <v>8.4294341269985633</v>
      </c>
    </row>
    <row r="50" spans="1:14" ht="12" hidden="1">
      <c r="A50" s="24" t="s">
        <v>100</v>
      </c>
      <c r="B50" s="31">
        <v>0.87</v>
      </c>
      <c r="C50" s="34">
        <f>B66</f>
        <v>2393.166082316241</v>
      </c>
      <c r="D50" s="34" t="s">
        <v>85</v>
      </c>
      <c r="E50" s="30">
        <f>B50*C50</f>
        <v>2082.0544916151298</v>
      </c>
      <c r="F50" s="31">
        <v>1.45</v>
      </c>
      <c r="G50" s="34">
        <f>F66</f>
        <v>404.52484011418869</v>
      </c>
      <c r="H50" s="30">
        <f>F50*G50</f>
        <v>586.56101816557361</v>
      </c>
      <c r="I50" s="31">
        <v>1.78</v>
      </c>
      <c r="J50" s="34">
        <f>I66</f>
        <v>101.15322021272365</v>
      </c>
      <c r="K50" s="30">
        <f>I50*J50</f>
        <v>180.0527319786481</v>
      </c>
      <c r="L50" s="31">
        <v>3</v>
      </c>
      <c r="M50" s="34">
        <f>L66</f>
        <v>25.288302380995688</v>
      </c>
      <c r="N50" s="30">
        <f>L50*M50</f>
        <v>75.864907142987065</v>
      </c>
    </row>
    <row r="51" spans="1:14" ht="12" hidden="1">
      <c r="A51" s="24" t="s">
        <v>21</v>
      </c>
      <c r="B51" s="31">
        <v>1</v>
      </c>
      <c r="C51" s="31">
        <f>$B$5</f>
        <v>200</v>
      </c>
      <c r="D51" s="31" t="s">
        <v>22</v>
      </c>
      <c r="E51" s="37">
        <f>IF(B51*C51&lt;100,100,B51*C51)</f>
        <v>200</v>
      </c>
      <c r="F51" s="31">
        <v>1</v>
      </c>
      <c r="G51" s="31">
        <f>$B$5</f>
        <v>200</v>
      </c>
      <c r="H51" s="37">
        <f>IF(F51*G51&lt;100,100,F51*G51)</f>
        <v>200</v>
      </c>
      <c r="I51" s="31">
        <v>1</v>
      </c>
      <c r="J51" s="31">
        <f>$B$5</f>
        <v>200</v>
      </c>
      <c r="K51" s="37">
        <f>IF(I51*J51&lt;100,100,I51*J51)</f>
        <v>200</v>
      </c>
      <c r="L51" s="31">
        <v>1</v>
      </c>
      <c r="M51" s="31">
        <f>$B$5</f>
        <v>200</v>
      </c>
      <c r="N51" s="37">
        <f>IF(L51*M51&lt;100,100,L51*M51)</f>
        <v>200</v>
      </c>
    </row>
    <row r="52" spans="1:14" ht="12" hidden="1">
      <c r="A52" s="24" t="s">
        <v>23</v>
      </c>
      <c r="B52" s="31">
        <v>1</v>
      </c>
      <c r="C52" s="31">
        <f>$B$5</f>
        <v>200</v>
      </c>
      <c r="D52" s="31" t="s">
        <v>22</v>
      </c>
      <c r="E52" s="37">
        <f>IF(B52*C52&lt;100,100,B52*C52)</f>
        <v>200</v>
      </c>
      <c r="F52" s="31">
        <v>1</v>
      </c>
      <c r="G52" s="31">
        <f>$B$5</f>
        <v>200</v>
      </c>
      <c r="H52" s="37">
        <f>IF(F52*G52&lt;100,100,F52*G52)</f>
        <v>200</v>
      </c>
      <c r="I52" s="31">
        <v>1</v>
      </c>
      <c r="J52" s="31">
        <f>$B$5</f>
        <v>200</v>
      </c>
      <c r="K52" s="37">
        <f>IF(I52*J52&lt;100,100,I52*J52)</f>
        <v>200</v>
      </c>
      <c r="L52" s="31">
        <v>1</v>
      </c>
      <c r="M52" s="31">
        <f>$B$5</f>
        <v>200</v>
      </c>
      <c r="N52" s="37">
        <f>IF(L52*M52&lt;100,100,L52*M52)</f>
        <v>200</v>
      </c>
    </row>
    <row r="53" spans="1:14" ht="12" hidden="1">
      <c r="A53" s="24" t="s">
        <v>73</v>
      </c>
      <c r="B53" s="31" t="s">
        <v>68</v>
      </c>
      <c r="C53" s="31" t="s">
        <v>68</v>
      </c>
      <c r="D53" s="31"/>
      <c r="E53" s="37">
        <v>200</v>
      </c>
      <c r="F53" s="31" t="s">
        <v>68</v>
      </c>
      <c r="G53" s="31" t="s">
        <v>68</v>
      </c>
      <c r="H53" s="37">
        <v>200</v>
      </c>
      <c r="I53" s="31" t="s">
        <v>68</v>
      </c>
      <c r="J53" s="31" t="s">
        <v>68</v>
      </c>
      <c r="K53" s="37">
        <v>200</v>
      </c>
      <c r="L53" s="31" t="s">
        <v>68</v>
      </c>
      <c r="M53" s="31" t="s">
        <v>68</v>
      </c>
      <c r="N53" s="37">
        <v>200</v>
      </c>
    </row>
    <row r="54" spans="1:14" ht="12" hidden="1">
      <c r="A54" s="24" t="s">
        <v>63</v>
      </c>
      <c r="B54" s="31">
        <v>0.03</v>
      </c>
      <c r="C54" s="34">
        <f>((11.07*$B$5) + 1407.3)</f>
        <v>3621.3</v>
      </c>
      <c r="D54" s="34"/>
      <c r="E54" s="30">
        <f>B54*C54</f>
        <v>108.639</v>
      </c>
      <c r="F54" s="31">
        <v>0.03</v>
      </c>
      <c r="G54" s="34">
        <f>((11.07*$B$5) + 1407.3)</f>
        <v>3621.3</v>
      </c>
      <c r="H54" s="30">
        <f>F54*G54</f>
        <v>108.639</v>
      </c>
      <c r="I54" s="31">
        <v>0.03</v>
      </c>
      <c r="J54" s="34">
        <f>((11.07*$B$5) + 1407.3)</f>
        <v>3621.3</v>
      </c>
      <c r="K54" s="30">
        <f>I54*J54</f>
        <v>108.639</v>
      </c>
      <c r="L54" s="31">
        <v>0.03</v>
      </c>
      <c r="M54" s="34">
        <f>((11.07*$B$5) + 1407.3)</f>
        <v>3621.3</v>
      </c>
      <c r="N54" s="30">
        <f>L54*M54</f>
        <v>108.639</v>
      </c>
    </row>
    <row r="55" spans="1:14" ht="12" hidden="1">
      <c r="A55" s="24" t="s">
        <v>109</v>
      </c>
      <c r="B55" s="36">
        <v>0.4</v>
      </c>
      <c r="C55" s="31">
        <f>$B$5</f>
        <v>200</v>
      </c>
      <c r="D55" s="31" t="s">
        <v>86</v>
      </c>
      <c r="E55" s="35">
        <f>B55*C55</f>
        <v>80</v>
      </c>
      <c r="F55" s="36">
        <v>0.4</v>
      </c>
      <c r="G55" s="31">
        <f>$B$5</f>
        <v>200</v>
      </c>
      <c r="H55" s="35">
        <f>F55*G55</f>
        <v>80</v>
      </c>
      <c r="I55" s="36">
        <v>0.4</v>
      </c>
      <c r="J55" s="31">
        <f>$B$5</f>
        <v>200</v>
      </c>
      <c r="K55" s="35">
        <f>I55*J55</f>
        <v>80</v>
      </c>
      <c r="L55" s="36">
        <v>0.4</v>
      </c>
      <c r="M55" s="31">
        <f>$B$5</f>
        <v>200</v>
      </c>
      <c r="N55" s="35">
        <f>L55*M55</f>
        <v>80</v>
      </c>
    </row>
    <row r="56" spans="1:14" ht="12" hidden="1">
      <c r="A56" s="24" t="s">
        <v>110</v>
      </c>
      <c r="B56" s="31">
        <v>1.44</v>
      </c>
      <c r="C56" s="31">
        <f>$B$5</f>
        <v>200</v>
      </c>
      <c r="D56" s="31" t="s">
        <v>87</v>
      </c>
      <c r="E56" s="35">
        <f>C56*B56</f>
        <v>288</v>
      </c>
      <c r="F56" s="31">
        <v>1.44</v>
      </c>
      <c r="G56" s="31">
        <f>$B$5</f>
        <v>200</v>
      </c>
      <c r="H56" s="35">
        <f>G56*F56</f>
        <v>288</v>
      </c>
      <c r="I56" s="31">
        <v>1.44</v>
      </c>
      <c r="J56" s="31">
        <f>$B$5</f>
        <v>200</v>
      </c>
      <c r="K56" s="35">
        <f>J56*I56</f>
        <v>288</v>
      </c>
      <c r="L56" s="31">
        <v>1.44</v>
      </c>
      <c r="M56" s="31">
        <f>$B$5</f>
        <v>200</v>
      </c>
      <c r="N56" s="35">
        <f>M56*L56</f>
        <v>288</v>
      </c>
    </row>
    <row r="57" spans="1:14" ht="12" hidden="1">
      <c r="A57" s="111" t="s">
        <v>106</v>
      </c>
      <c r="B57" s="112"/>
      <c r="C57" s="112"/>
      <c r="D57" s="112"/>
      <c r="E57" s="113"/>
      <c r="F57" s="112"/>
      <c r="G57" s="112"/>
      <c r="H57" s="113"/>
      <c r="I57" s="112"/>
      <c r="J57" s="112"/>
      <c r="K57" s="113"/>
      <c r="L57" s="112"/>
      <c r="M57" s="112"/>
      <c r="N57" s="113"/>
    </row>
    <row r="58" spans="1:14" ht="156" hidden="1">
      <c r="A58" s="3" t="s">
        <v>64</v>
      </c>
      <c r="B58" s="5" t="s">
        <v>14</v>
      </c>
      <c r="C58" s="38"/>
      <c r="D58" s="5"/>
      <c r="E58" s="6" t="s">
        <v>116</v>
      </c>
      <c r="F58" s="5" t="s">
        <v>14</v>
      </c>
      <c r="G58" s="38"/>
      <c r="H58" s="6" t="s">
        <v>116</v>
      </c>
      <c r="I58" s="5" t="s">
        <v>14</v>
      </c>
      <c r="J58" s="38"/>
      <c r="K58" s="6" t="s">
        <v>116</v>
      </c>
      <c r="L58" s="5" t="s">
        <v>14</v>
      </c>
      <c r="M58" s="38"/>
      <c r="N58" s="6" t="s">
        <v>116</v>
      </c>
    </row>
    <row r="59" spans="1:14" ht="12" hidden="1">
      <c r="A59" s="24" t="s">
        <v>101</v>
      </c>
      <c r="B59" s="31">
        <v>14</v>
      </c>
      <c r="C59" s="39"/>
      <c r="D59" s="31"/>
      <c r="E59" s="37">
        <f>$B$59*$B$5</f>
        <v>2800</v>
      </c>
      <c r="F59" s="31">
        <f>$B$59</f>
        <v>14</v>
      </c>
      <c r="G59" s="39"/>
      <c r="H59" s="37">
        <f>$B$59*$B$5</f>
        <v>2800</v>
      </c>
      <c r="I59" s="31">
        <f>$B$59</f>
        <v>14</v>
      </c>
      <c r="J59" s="39"/>
      <c r="K59" s="37">
        <f>$B$59*$B$5</f>
        <v>2800</v>
      </c>
      <c r="L59" s="31">
        <f>$B$59</f>
        <v>14</v>
      </c>
      <c r="M59" s="39"/>
      <c r="N59" s="37">
        <f>$B$59*$B$5</f>
        <v>2800</v>
      </c>
    </row>
    <row r="60" spans="1:14" ht="12" hidden="1">
      <c r="A60" s="7" t="s">
        <v>24</v>
      </c>
      <c r="B60" s="40"/>
      <c r="C60" s="40"/>
      <c r="D60" s="40"/>
      <c r="E60" s="41"/>
      <c r="F60" s="40"/>
      <c r="G60" s="40"/>
      <c r="H60" s="41"/>
      <c r="I60" s="40"/>
      <c r="J60" s="40"/>
      <c r="K60" s="41"/>
      <c r="L60" s="40"/>
      <c r="M60" s="40"/>
      <c r="N60" s="41"/>
    </row>
    <row r="61" spans="1:14" ht="13" hidden="1">
      <c r="A61" s="42" t="s">
        <v>113</v>
      </c>
      <c r="B61" s="43"/>
      <c r="C61" s="43"/>
      <c r="D61" s="43"/>
      <c r="E61" s="44">
        <f>SUM(E40:E44,E50:E54,E59)+SUM(E45:E49)</f>
        <v>8330.0133122546504</v>
      </c>
      <c r="F61" s="1"/>
      <c r="G61" s="45"/>
      <c r="H61" s="44">
        <f>SUM(H40:H44,H50:H54,H59)+SUM(H45:H49)</f>
        <v>6092.5710489477897</v>
      </c>
      <c r="I61" s="1"/>
      <c r="J61" s="45"/>
      <c r="K61" s="44">
        <f>SUM(K40:K44,K50:K54,K59)+SUM(K45:K49)</f>
        <v>5572.8768338530936</v>
      </c>
      <c r="M61" s="45"/>
      <c r="N61" s="44">
        <f>SUM(N40:N44,N50:N54,N59)+SUM(N45:N49)</f>
        <v>5440.3843139405326</v>
      </c>
    </row>
    <row r="62" spans="1:14" s="48" customFormat="1" ht="13" hidden="1">
      <c r="A62" s="42" t="s">
        <v>111</v>
      </c>
      <c r="B62" s="46"/>
      <c r="C62" s="46"/>
      <c r="D62" s="46"/>
      <c r="E62" s="47">
        <f>SUM(E40:E44,E50:E55)+SUM(E45:E49)</f>
        <v>5610.0133122546495</v>
      </c>
      <c r="F62" s="1"/>
      <c r="G62" s="45"/>
      <c r="H62" s="47">
        <f>SUM(H40:H44,H50:H55)+SUM(H45:H49)</f>
        <v>3372.5710489477888</v>
      </c>
      <c r="I62" s="1"/>
      <c r="J62" s="45"/>
      <c r="K62" s="47">
        <f>SUM(K40:K44,K50:K55)+SUM(K45:K49)</f>
        <v>2852.8768338530926</v>
      </c>
      <c r="L62" s="1"/>
      <c r="M62" s="45"/>
      <c r="N62" s="47">
        <f>SUM(N40:N44,N50:N55)+SUM(N45:N49)</f>
        <v>2720.384313940533</v>
      </c>
    </row>
    <row r="63" spans="1:14" s="48" customFormat="1" ht="14" hidden="1" thickBot="1">
      <c r="A63" s="42" t="s">
        <v>112</v>
      </c>
      <c r="B63" s="46"/>
      <c r="C63" s="46"/>
      <c r="D63" s="46"/>
      <c r="E63" s="47">
        <f>SUM(E40:E44,E50:E54,E56)+SUM(E45:E49)</f>
        <v>5818.0133122546495</v>
      </c>
      <c r="F63" s="1"/>
      <c r="G63" s="45"/>
      <c r="H63" s="47">
        <f>SUM(H40:H44,H50:H54,H56)+SUM(H45:H49)</f>
        <v>3580.5710489477888</v>
      </c>
      <c r="I63" s="1"/>
      <c r="J63" s="45"/>
      <c r="K63" s="47">
        <f>SUM(K40:K44,K50:K54,K56)+SUM(K45:K49)</f>
        <v>3060.8768338530926</v>
      </c>
      <c r="L63" s="1"/>
      <c r="M63" s="45"/>
      <c r="N63" s="47">
        <f>SUM(N40:N44,N50:N54,N56)+SUM(N45:N49)</f>
        <v>2928.384313940533</v>
      </c>
    </row>
    <row r="64" spans="1:14" ht="12" hidden="1">
      <c r="A64" s="130" t="s">
        <v>18</v>
      </c>
      <c r="B64" s="124"/>
      <c r="C64" s="114" t="s">
        <v>107</v>
      </c>
      <c r="D64" s="114"/>
      <c r="E64" s="115"/>
      <c r="F64" s="20" t="s">
        <v>18</v>
      </c>
      <c r="G64" s="114" t="s">
        <v>107</v>
      </c>
      <c r="H64" s="115"/>
      <c r="I64" s="20" t="s">
        <v>18</v>
      </c>
      <c r="J64" s="114" t="s">
        <v>107</v>
      </c>
      <c r="K64" s="115"/>
      <c r="L64" s="20" t="s">
        <v>18</v>
      </c>
      <c r="M64" s="114" t="s">
        <v>107</v>
      </c>
      <c r="N64" s="115"/>
    </row>
    <row r="65" spans="1:14" ht="288" hidden="1">
      <c r="A65" s="131" t="s">
        <v>19</v>
      </c>
      <c r="B65" s="118"/>
      <c r="C65" s="19" t="s">
        <v>108</v>
      </c>
      <c r="D65" s="16" t="s">
        <v>67</v>
      </c>
      <c r="E65" s="18" t="s">
        <v>15</v>
      </c>
      <c r="F65" s="18" t="s">
        <v>19</v>
      </c>
      <c r="G65" s="19" t="s">
        <v>108</v>
      </c>
      <c r="H65" s="18" t="s">
        <v>15</v>
      </c>
      <c r="I65" s="18" t="s">
        <v>19</v>
      </c>
      <c r="J65" s="19" t="s">
        <v>108</v>
      </c>
      <c r="K65" s="18" t="s">
        <v>15</v>
      </c>
      <c r="L65" s="18" t="s">
        <v>19</v>
      </c>
      <c r="M65" s="19" t="s">
        <v>108</v>
      </c>
      <c r="N65" s="18" t="s">
        <v>15</v>
      </c>
    </row>
    <row r="66" spans="1:14" ht="12" hidden="1">
      <c r="A66" s="49" t="s">
        <v>26</v>
      </c>
      <c r="B66" s="30">
        <f>((CONVERT(B29,"gal","ml"))/40)*(1-B30/100)</f>
        <v>2393.166082316241</v>
      </c>
      <c r="C66" s="50">
        <v>1</v>
      </c>
      <c r="D66" s="31" t="s">
        <v>103</v>
      </c>
      <c r="E66" s="30">
        <f>IF(D66="new tubing system",E$61,IF(D66="Replace spouts",E$62,E$63))</f>
        <v>8330.0133122546504</v>
      </c>
      <c r="F66" s="51">
        <f>((CONVERT(B29,"gal","oz"))/8)*(1-B30/100)</f>
        <v>404.52484011418869</v>
      </c>
      <c r="G66" s="50">
        <v>1</v>
      </c>
      <c r="H66" s="30">
        <f t="shared" ref="H66:H75" si="0">IF(D66="new tubing system",H$61,IF(D66="Replace spouts",H$62,H$63))</f>
        <v>6092.5710489477897</v>
      </c>
      <c r="I66" s="30">
        <f>CONVERT(B29,"gal","qt")*(1-B30/100)</f>
        <v>101.15322021272365</v>
      </c>
      <c r="J66" s="50">
        <v>1</v>
      </c>
      <c r="K66" s="30">
        <f t="shared" ref="K66:K75" si="1">IF(D66="new tubing system",K$61,IF(D66="Replace spouts",K$62,K$63))</f>
        <v>5572.8768338530936</v>
      </c>
      <c r="L66" s="30">
        <f>B29*(1-B30/100)</f>
        <v>25.288302380995688</v>
      </c>
      <c r="M66" s="50">
        <v>1</v>
      </c>
      <c r="N66" s="30">
        <f t="shared" ref="N66:N75" si="2">IF(D66="new tubing system",N$61,IF(D66="Replace spouts",N$62,N$63))</f>
        <v>5440.3843139405326</v>
      </c>
    </row>
    <row r="67" spans="1:14" ht="12" hidden="1">
      <c r="A67" s="52" t="s">
        <v>17</v>
      </c>
      <c r="B67" s="53">
        <f>E77/B66</f>
        <v>2.5801858708770924</v>
      </c>
      <c r="C67" s="50">
        <v>2</v>
      </c>
      <c r="D67" s="31" t="s">
        <v>104</v>
      </c>
      <c r="E67" s="30">
        <f t="shared" ref="E67:E75" si="3">IF(D67="new tubing system",E$61,IF(D67="Replace spouts",E$62,E$63))</f>
        <v>5610.0133122546495</v>
      </c>
      <c r="F67" s="54">
        <f>H77/F66</f>
        <v>9.7333232931662579</v>
      </c>
      <c r="G67" s="50">
        <v>2</v>
      </c>
      <c r="H67" s="30">
        <f t="shared" si="0"/>
        <v>3372.5710489477888</v>
      </c>
      <c r="I67" s="53">
        <f>K77/I66</f>
        <v>33.787128345155722</v>
      </c>
      <c r="J67" s="50">
        <v>2</v>
      </c>
      <c r="K67" s="30">
        <f t="shared" si="1"/>
        <v>2852.8768338530926</v>
      </c>
      <c r="L67" s="53">
        <f>N77/L66</f>
        <v>129.90924675154821</v>
      </c>
      <c r="M67" s="50">
        <v>2</v>
      </c>
      <c r="N67" s="30">
        <f t="shared" si="2"/>
        <v>2720.384313940533</v>
      </c>
    </row>
    <row r="68" spans="1:14" ht="13" hidden="1" thickBot="1">
      <c r="A68" s="3" t="s">
        <v>11</v>
      </c>
      <c r="B68" s="2" t="s">
        <v>74</v>
      </c>
      <c r="C68" s="50">
        <v>3</v>
      </c>
      <c r="D68" s="31" t="s">
        <v>104</v>
      </c>
      <c r="E68" s="30">
        <f t="shared" si="3"/>
        <v>5610.0133122546495</v>
      </c>
      <c r="F68" s="2" t="s">
        <v>74</v>
      </c>
      <c r="G68" s="50">
        <v>3</v>
      </c>
      <c r="H68" s="30">
        <f t="shared" si="0"/>
        <v>3372.5710489477888</v>
      </c>
      <c r="I68" s="2" t="s">
        <v>74</v>
      </c>
      <c r="J68" s="50">
        <v>3</v>
      </c>
      <c r="K68" s="30">
        <f t="shared" si="1"/>
        <v>2852.8768338530926</v>
      </c>
      <c r="L68" s="2" t="s">
        <v>74</v>
      </c>
      <c r="M68" s="50">
        <v>3</v>
      </c>
      <c r="N68" s="30">
        <f t="shared" si="2"/>
        <v>2720.384313940533</v>
      </c>
    </row>
    <row r="69" spans="1:14" ht="14" hidden="1" thickTop="1" thickBot="1">
      <c r="A69" s="23" t="s">
        <v>102</v>
      </c>
      <c r="B69" s="55">
        <v>6</v>
      </c>
      <c r="C69" s="50">
        <v>4</v>
      </c>
      <c r="D69" s="31" t="s">
        <v>104</v>
      </c>
      <c r="E69" s="30">
        <f t="shared" si="3"/>
        <v>5610.0133122546495</v>
      </c>
      <c r="F69" s="56">
        <v>22</v>
      </c>
      <c r="G69" s="50">
        <v>4</v>
      </c>
      <c r="H69" s="30">
        <f t="shared" si="0"/>
        <v>3372.5710489477888</v>
      </c>
      <c r="I69" s="55">
        <v>83</v>
      </c>
      <c r="J69" s="50">
        <v>4</v>
      </c>
      <c r="K69" s="30">
        <f t="shared" si="1"/>
        <v>2852.8768338530926</v>
      </c>
      <c r="L69" s="55">
        <v>300</v>
      </c>
      <c r="M69" s="50">
        <v>4</v>
      </c>
      <c r="N69" s="30">
        <f t="shared" si="2"/>
        <v>2720.384313940533</v>
      </c>
    </row>
    <row r="70" spans="1:14" ht="13" hidden="1" thickTop="1">
      <c r="A70" s="57" t="s">
        <v>78</v>
      </c>
      <c r="B70" s="58">
        <f>B69/1.5</f>
        <v>4</v>
      </c>
      <c r="C70" s="50">
        <v>5</v>
      </c>
      <c r="D70" s="31" t="s">
        <v>104</v>
      </c>
      <c r="E70" s="30">
        <f t="shared" si="3"/>
        <v>5610.0133122546495</v>
      </c>
      <c r="F70" s="58">
        <f>F69/1.5</f>
        <v>14.666666666666666</v>
      </c>
      <c r="G70" s="50">
        <v>5</v>
      </c>
      <c r="H70" s="30">
        <f t="shared" si="0"/>
        <v>3372.5710489477888</v>
      </c>
      <c r="I70" s="58">
        <f>I69/1.5</f>
        <v>55.333333333333336</v>
      </c>
      <c r="J70" s="50">
        <v>5</v>
      </c>
      <c r="K70" s="30">
        <f t="shared" si="1"/>
        <v>2852.8768338530926</v>
      </c>
      <c r="L70" s="58">
        <f>L69/1.5</f>
        <v>200</v>
      </c>
      <c r="M70" s="50">
        <v>5</v>
      </c>
      <c r="N70" s="30">
        <f t="shared" si="2"/>
        <v>2720.384313940533</v>
      </c>
    </row>
    <row r="71" spans="1:14" ht="12" hidden="1">
      <c r="A71" s="24" t="s">
        <v>77</v>
      </c>
      <c r="B71" s="54">
        <f>B72*1.5</f>
        <v>7.7405576126312772</v>
      </c>
      <c r="C71" s="50">
        <v>6</v>
      </c>
      <c r="D71" s="31" t="s">
        <v>105</v>
      </c>
      <c r="E71" s="30">
        <f t="shared" si="3"/>
        <v>5818.0133122546495</v>
      </c>
      <c r="F71" s="54">
        <f>F72*1.5</f>
        <v>29.199969879498774</v>
      </c>
      <c r="G71" s="50">
        <v>6</v>
      </c>
      <c r="H71" s="30">
        <f t="shared" si="0"/>
        <v>3580.5710489477888</v>
      </c>
      <c r="I71" s="54">
        <f>I72*1.5</f>
        <v>101.36138503546717</v>
      </c>
      <c r="J71" s="50">
        <v>6</v>
      </c>
      <c r="K71" s="30">
        <f t="shared" si="1"/>
        <v>3060.8768338530926</v>
      </c>
      <c r="L71" s="54">
        <f>L72*1.5</f>
        <v>389.72774025464463</v>
      </c>
      <c r="M71" s="50">
        <v>6</v>
      </c>
      <c r="N71" s="30">
        <f t="shared" si="2"/>
        <v>2928.384313940533</v>
      </c>
    </row>
    <row r="72" spans="1:14" ht="12" hidden="1">
      <c r="A72" s="24" t="s">
        <v>76</v>
      </c>
      <c r="B72" s="54">
        <f>B67*2</f>
        <v>5.1603717417541848</v>
      </c>
      <c r="C72" s="50">
        <v>7</v>
      </c>
      <c r="D72" s="31" t="s">
        <v>104</v>
      </c>
      <c r="E72" s="30">
        <f t="shared" si="3"/>
        <v>5610.0133122546495</v>
      </c>
      <c r="F72" s="54">
        <f>F67*2</f>
        <v>19.466646586332516</v>
      </c>
      <c r="G72" s="50">
        <v>7</v>
      </c>
      <c r="H72" s="30">
        <f t="shared" si="0"/>
        <v>3372.5710489477888</v>
      </c>
      <c r="I72" s="54">
        <f>I67*2</f>
        <v>67.574256690311444</v>
      </c>
      <c r="J72" s="50">
        <v>7</v>
      </c>
      <c r="K72" s="30">
        <f t="shared" si="1"/>
        <v>2852.8768338530926</v>
      </c>
      <c r="L72" s="54">
        <f>L67*2</f>
        <v>259.81849350309642</v>
      </c>
      <c r="M72" s="50">
        <v>7</v>
      </c>
      <c r="N72" s="30">
        <f t="shared" si="2"/>
        <v>2720.384313940533</v>
      </c>
    </row>
    <row r="73" spans="1:14" ht="12" hidden="1">
      <c r="A73" s="59"/>
      <c r="B73" s="2" t="s">
        <v>65</v>
      </c>
      <c r="C73" s="50">
        <v>8</v>
      </c>
      <c r="D73" s="31" t="s">
        <v>104</v>
      </c>
      <c r="E73" s="30">
        <f t="shared" si="3"/>
        <v>5610.0133122546495</v>
      </c>
      <c r="F73" s="2" t="s">
        <v>65</v>
      </c>
      <c r="G73" s="50">
        <v>8</v>
      </c>
      <c r="H73" s="30">
        <f t="shared" si="0"/>
        <v>3372.5710489477888</v>
      </c>
      <c r="I73" s="2" t="s">
        <v>65</v>
      </c>
      <c r="J73" s="50">
        <v>8</v>
      </c>
      <c r="K73" s="30">
        <f t="shared" si="1"/>
        <v>2852.8768338530926</v>
      </c>
      <c r="L73" s="2" t="s">
        <v>65</v>
      </c>
      <c r="M73" s="50">
        <v>8</v>
      </c>
      <c r="N73" s="30">
        <f t="shared" si="2"/>
        <v>2720.384313940533</v>
      </c>
    </row>
    <row r="74" spans="1:14" ht="12" hidden="1">
      <c r="A74" s="24" t="s">
        <v>79</v>
      </c>
      <c r="B74" s="30">
        <f>B66*B69</f>
        <v>14358.996493897446</v>
      </c>
      <c r="C74" s="50">
        <v>9</v>
      </c>
      <c r="D74" s="31" t="s">
        <v>104</v>
      </c>
      <c r="E74" s="30">
        <f t="shared" si="3"/>
        <v>5610.0133122546495</v>
      </c>
      <c r="F74" s="51">
        <f>F66*F69</f>
        <v>8899.5464825121508</v>
      </c>
      <c r="G74" s="50">
        <v>9</v>
      </c>
      <c r="H74" s="30">
        <f t="shared" si="0"/>
        <v>3372.5710489477888</v>
      </c>
      <c r="I74" s="30">
        <f>I66*I69</f>
        <v>8395.7172776560637</v>
      </c>
      <c r="J74" s="50">
        <v>9</v>
      </c>
      <c r="K74" s="30">
        <f t="shared" si="1"/>
        <v>2852.8768338530926</v>
      </c>
      <c r="L74" s="30">
        <f>L66*L69</f>
        <v>7586.4907142987067</v>
      </c>
      <c r="M74" s="50">
        <v>9</v>
      </c>
      <c r="N74" s="30">
        <f t="shared" si="2"/>
        <v>2720.384313940533</v>
      </c>
    </row>
    <row r="75" spans="1:14" ht="12" hidden="1">
      <c r="A75" s="57" t="s">
        <v>78</v>
      </c>
      <c r="B75" s="30">
        <f>B66*B70</f>
        <v>9572.6643292649642</v>
      </c>
      <c r="C75" s="50">
        <v>10</v>
      </c>
      <c r="D75" s="31" t="s">
        <v>103</v>
      </c>
      <c r="E75" s="30">
        <f t="shared" si="3"/>
        <v>8330.0133122546504</v>
      </c>
      <c r="F75" s="51">
        <f>F66*F70</f>
        <v>5933.0309883414338</v>
      </c>
      <c r="G75" s="50">
        <v>10</v>
      </c>
      <c r="H75" s="30">
        <f t="shared" si="0"/>
        <v>6092.5710489477897</v>
      </c>
      <c r="I75" s="30">
        <f>I66*I70</f>
        <v>5597.1448517707095</v>
      </c>
      <c r="J75" s="50">
        <v>10</v>
      </c>
      <c r="K75" s="30">
        <f t="shared" si="1"/>
        <v>5572.8768338530936</v>
      </c>
      <c r="L75" s="30">
        <f>L66*L70</f>
        <v>5057.6604761991375</v>
      </c>
      <c r="M75" s="50">
        <v>10</v>
      </c>
      <c r="N75" s="30">
        <f t="shared" si="2"/>
        <v>5440.3843139405326</v>
      </c>
    </row>
    <row r="76" spans="1:14" ht="12" hidden="1">
      <c r="A76" s="24" t="s">
        <v>77</v>
      </c>
      <c r="B76" s="30">
        <f>B66*B71</f>
        <v>18524.439936763949</v>
      </c>
      <c r="C76" s="117" t="s">
        <v>16</v>
      </c>
      <c r="D76" s="117"/>
      <c r="E76" s="118"/>
      <c r="F76" s="51">
        <f>F66*F71</f>
        <v>11812.113146843367</v>
      </c>
      <c r="G76" s="117" t="s">
        <v>16</v>
      </c>
      <c r="H76" s="118"/>
      <c r="I76" s="30">
        <f>I66*I71</f>
        <v>10253.030501559282</v>
      </c>
      <c r="J76" s="117" t="s">
        <v>16</v>
      </c>
      <c r="K76" s="118"/>
      <c r="L76" s="30">
        <f>L66*L71</f>
        <v>9855.5529418215992</v>
      </c>
      <c r="M76" s="117" t="s">
        <v>16</v>
      </c>
      <c r="N76" s="118"/>
    </row>
    <row r="77" spans="1:14" ht="13" hidden="1" thickBot="1">
      <c r="A77" s="26" t="s">
        <v>76</v>
      </c>
      <c r="B77" s="60">
        <f>B66*B72</f>
        <v>12349.626624509299</v>
      </c>
      <c r="C77" s="8"/>
      <c r="D77" s="8"/>
      <c r="E77" s="61">
        <f>AVERAGE(E66:E75)</f>
        <v>6174.8133122546496</v>
      </c>
      <c r="F77" s="62">
        <f>F66*F72</f>
        <v>7874.7420978955779</v>
      </c>
      <c r="G77" s="8"/>
      <c r="H77" s="61">
        <f>AVERAGE(H66:H75)</f>
        <v>3937.3710489477889</v>
      </c>
      <c r="I77" s="60">
        <f>I66*I72</f>
        <v>6835.3536677061884</v>
      </c>
      <c r="J77" s="8"/>
      <c r="K77" s="61">
        <f>AVERAGE(K66:K75)</f>
        <v>3417.6768338530937</v>
      </c>
      <c r="L77" s="60">
        <f>L66*L72</f>
        <v>6570.3686278810655</v>
      </c>
      <c r="M77" s="8"/>
      <c r="N77" s="61">
        <f>AVERAGE(N66:N75)</f>
        <v>3285.1843139405328</v>
      </c>
    </row>
    <row r="78" spans="1:14" ht="12" hidden="1">
      <c r="A78" s="140" t="s">
        <v>20</v>
      </c>
      <c r="B78" s="119"/>
      <c r="C78" s="120"/>
      <c r="D78" s="120"/>
      <c r="E78" s="121"/>
      <c r="F78" s="119"/>
      <c r="G78" s="120"/>
      <c r="H78" s="121"/>
      <c r="I78" s="119"/>
      <c r="J78" s="120"/>
      <c r="K78" s="121"/>
      <c r="L78" s="119"/>
      <c r="M78" s="120"/>
      <c r="N78" s="121"/>
    </row>
    <row r="79" spans="1:14" ht="12" hidden="1">
      <c r="A79" s="59"/>
      <c r="B79" s="63"/>
      <c r="C79" s="132" t="s">
        <v>11</v>
      </c>
      <c r="D79" s="132"/>
      <c r="E79" s="9" t="s">
        <v>25</v>
      </c>
      <c r="F79" s="63"/>
      <c r="G79" s="17" t="s">
        <v>11</v>
      </c>
      <c r="H79" s="9" t="s">
        <v>25</v>
      </c>
      <c r="I79" s="63"/>
      <c r="J79" s="21" t="s">
        <v>11</v>
      </c>
      <c r="K79" s="9" t="s">
        <v>25</v>
      </c>
      <c r="L79" s="63"/>
      <c r="M79" s="21" t="s">
        <v>11</v>
      </c>
      <c r="N79" s="9" t="s">
        <v>25</v>
      </c>
    </row>
    <row r="80" spans="1:14" ht="12" hidden="1">
      <c r="A80" s="59"/>
      <c r="B80" s="63"/>
      <c r="C80" s="133" t="s">
        <v>79</v>
      </c>
      <c r="D80" s="133"/>
      <c r="E80" s="30">
        <f>B74-E$77</f>
        <v>8184.1831816427966</v>
      </c>
      <c r="F80" s="63"/>
      <c r="G80" s="64" t="s">
        <v>79</v>
      </c>
      <c r="H80" s="30">
        <f>F74-H$77</f>
        <v>4962.1754335643618</v>
      </c>
      <c r="I80" s="63"/>
      <c r="J80" s="65" t="s">
        <v>79</v>
      </c>
      <c r="K80" s="30">
        <f>I74-K$77</f>
        <v>4978.04044380297</v>
      </c>
      <c r="L80" s="63"/>
      <c r="M80" s="65" t="s">
        <v>79</v>
      </c>
      <c r="N80" s="30">
        <f>L74-N$77</f>
        <v>4301.306400358174</v>
      </c>
    </row>
    <row r="81" spans="1:14" ht="12" hidden="1">
      <c r="A81" s="59"/>
      <c r="B81" s="63"/>
      <c r="C81" s="136" t="s">
        <v>78</v>
      </c>
      <c r="D81" s="136"/>
      <c r="E81" s="30">
        <f>B75-E$77</f>
        <v>3397.8510170103145</v>
      </c>
      <c r="F81" s="63"/>
      <c r="G81" s="66" t="s">
        <v>78</v>
      </c>
      <c r="H81" s="30">
        <f>F75-H$77</f>
        <v>1995.6599393936449</v>
      </c>
      <c r="I81" s="63"/>
      <c r="J81" s="67" t="s">
        <v>78</v>
      </c>
      <c r="K81" s="30">
        <f>I75-K$77</f>
        <v>2179.4680179176157</v>
      </c>
      <c r="L81" s="63"/>
      <c r="M81" s="67" t="s">
        <v>78</v>
      </c>
      <c r="N81" s="30">
        <f>L75-N$77</f>
        <v>1772.4761622586047</v>
      </c>
    </row>
    <row r="82" spans="1:14" ht="12" hidden="1">
      <c r="A82" s="59"/>
      <c r="B82" s="63"/>
      <c r="C82" s="133" t="s">
        <v>77</v>
      </c>
      <c r="D82" s="133"/>
      <c r="E82" s="30">
        <f>B76-E$77</f>
        <v>12349.626624509299</v>
      </c>
      <c r="F82" s="63"/>
      <c r="G82" s="64" t="s">
        <v>77</v>
      </c>
      <c r="H82" s="30">
        <f>F76-H$77</f>
        <v>7874.7420978955779</v>
      </c>
      <c r="I82" s="63"/>
      <c r="J82" s="65" t="s">
        <v>77</v>
      </c>
      <c r="K82" s="30">
        <f>I76-K$77</f>
        <v>6835.3536677061884</v>
      </c>
      <c r="L82" s="63"/>
      <c r="M82" s="65" t="s">
        <v>77</v>
      </c>
      <c r="N82" s="30">
        <f>L76-N$77</f>
        <v>6570.3686278810665</v>
      </c>
    </row>
    <row r="83" spans="1:14" ht="13" hidden="1" thickBot="1">
      <c r="A83" s="68"/>
      <c r="B83" s="69"/>
      <c r="C83" s="129" t="s">
        <v>76</v>
      </c>
      <c r="D83" s="129"/>
      <c r="E83" s="60">
        <f>B77-E$77</f>
        <v>6174.8133122546496</v>
      </c>
      <c r="F83" s="63"/>
      <c r="G83" s="79" t="s">
        <v>76</v>
      </c>
      <c r="H83" s="60">
        <f>F77-H$77</f>
        <v>3937.3710489477889</v>
      </c>
      <c r="I83" s="69"/>
      <c r="J83" s="70" t="s">
        <v>76</v>
      </c>
      <c r="K83" s="60">
        <f>I77-K$77</f>
        <v>3417.6768338530946</v>
      </c>
      <c r="L83" s="69"/>
      <c r="M83" s="70" t="s">
        <v>76</v>
      </c>
      <c r="N83" s="60">
        <f>L77-N$77</f>
        <v>3285.1843139405328</v>
      </c>
    </row>
    <row r="84" spans="1:14" ht="14" hidden="1" thickBot="1"/>
    <row r="85" spans="1:14" ht="38.25" customHeight="1" thickBot="1">
      <c r="G85" s="134" t="s">
        <v>42</v>
      </c>
      <c r="H85" s="135"/>
      <c r="K85" s="1"/>
      <c r="L85" s="22"/>
    </row>
    <row r="86" spans="1:14" ht="37" thickBot="1">
      <c r="B86" s="82" t="s">
        <v>29</v>
      </c>
      <c r="C86" s="83" t="s">
        <v>43</v>
      </c>
      <c r="D86" s="83" t="s">
        <v>44</v>
      </c>
      <c r="E86" s="83" t="s">
        <v>30</v>
      </c>
      <c r="F86" s="83" t="s">
        <v>31</v>
      </c>
      <c r="G86" s="108" t="s">
        <v>34</v>
      </c>
      <c r="H86" s="109" t="s">
        <v>35</v>
      </c>
      <c r="K86" s="1"/>
      <c r="L86" s="22"/>
    </row>
    <row r="87" spans="1:14" ht="18" customHeight="1">
      <c r="B87" s="71" t="s">
        <v>81</v>
      </c>
      <c r="C87" s="72">
        <f>B69</f>
        <v>6</v>
      </c>
      <c r="D87" s="72">
        <f>B70</f>
        <v>4</v>
      </c>
      <c r="E87" s="73">
        <f>B66</f>
        <v>2393.166082316241</v>
      </c>
      <c r="F87" s="72">
        <f>B67</f>
        <v>2.5801858708770924</v>
      </c>
      <c r="G87" s="88">
        <f>E80</f>
        <v>8184.1831816427966</v>
      </c>
      <c r="H87" s="88">
        <f>E81</f>
        <v>3397.8510170103145</v>
      </c>
      <c r="K87" s="1"/>
      <c r="L87" s="22"/>
    </row>
    <row r="88" spans="1:14" ht="18" customHeight="1">
      <c r="B88" s="71" t="s">
        <v>82</v>
      </c>
      <c r="C88" s="72">
        <v>22</v>
      </c>
      <c r="D88" s="72">
        <f>F70</f>
        <v>14.666666666666666</v>
      </c>
      <c r="E88" s="73">
        <f>F66</f>
        <v>404.52484011418869</v>
      </c>
      <c r="F88" s="72">
        <f>F67</f>
        <v>9.7333232931662579</v>
      </c>
      <c r="G88" s="88">
        <f>H80</f>
        <v>4962.1754335643618</v>
      </c>
      <c r="H88" s="88">
        <f>H81</f>
        <v>1995.6599393936449</v>
      </c>
      <c r="K88" s="1"/>
      <c r="L88" s="22"/>
    </row>
    <row r="89" spans="1:14" ht="18" customHeight="1">
      <c r="A89" s="1"/>
      <c r="B89" s="71" t="s">
        <v>75</v>
      </c>
      <c r="C89" s="72">
        <v>83</v>
      </c>
      <c r="D89" s="72">
        <f>I70</f>
        <v>55.333333333333336</v>
      </c>
      <c r="E89" s="73">
        <f>I66</f>
        <v>101.15322021272365</v>
      </c>
      <c r="F89" s="72">
        <f>I67</f>
        <v>33.787128345155722</v>
      </c>
      <c r="G89" s="88">
        <f>K80</f>
        <v>4978.04044380297</v>
      </c>
      <c r="H89" s="88">
        <f>K81</f>
        <v>2179.4680179176157</v>
      </c>
      <c r="I89" s="1"/>
      <c r="J89" s="1"/>
      <c r="K89" s="1"/>
      <c r="L89" s="22"/>
    </row>
    <row r="90" spans="1:14" s="1" customFormat="1" ht="18" customHeight="1" thickBot="1">
      <c r="B90" s="74" t="s">
        <v>80</v>
      </c>
      <c r="C90" s="75">
        <f>L69</f>
        <v>300</v>
      </c>
      <c r="D90" s="75">
        <f>L70</f>
        <v>200</v>
      </c>
      <c r="E90" s="76">
        <f>L66</f>
        <v>25.288302380995688</v>
      </c>
      <c r="F90" s="75">
        <f>L67</f>
        <v>129.90924675154821</v>
      </c>
      <c r="G90" s="89">
        <f>N80</f>
        <v>4301.306400358174</v>
      </c>
      <c r="H90" s="89">
        <f>N81</f>
        <v>1772.4761622586047</v>
      </c>
    </row>
    <row r="91" spans="1:14" s="1" customFormat="1" ht="13"/>
    <row r="92" spans="1:14" s="77" customFormat="1" ht="11">
      <c r="A92" s="78" t="s">
        <v>5</v>
      </c>
    </row>
    <row r="93" spans="1:14" s="77" customFormat="1" ht="11">
      <c r="A93" s="77" t="s">
        <v>1</v>
      </c>
    </row>
    <row r="94" spans="1:14" s="77" customFormat="1" ht="11">
      <c r="A94" s="77" t="s">
        <v>0</v>
      </c>
    </row>
    <row r="95" spans="1:14" s="77" customFormat="1" ht="11">
      <c r="A95" s="77" t="s">
        <v>3</v>
      </c>
    </row>
    <row r="96" spans="1:14" s="77" customFormat="1" ht="11">
      <c r="A96" s="77" t="s">
        <v>33</v>
      </c>
    </row>
    <row r="97" spans="1:11" s="77" customFormat="1" ht="11">
      <c r="A97" s="77" t="s">
        <v>8</v>
      </c>
    </row>
    <row r="98" spans="1:11" s="77" customFormat="1" ht="11">
      <c r="A98" s="77" t="s">
        <v>7</v>
      </c>
    </row>
    <row r="99" spans="1:11" s="77" customFormat="1" ht="11">
      <c r="A99" s="77" t="s">
        <v>6</v>
      </c>
    </row>
    <row r="100" spans="1:11" s="77" customFormat="1" ht="11">
      <c r="A100" s="77" t="s">
        <v>2</v>
      </c>
    </row>
    <row r="101" spans="1:11" ht="13"/>
    <row r="102" spans="1:11" s="77" customFormat="1" ht="14.25" customHeight="1">
      <c r="A102" s="110" t="s">
        <v>4</v>
      </c>
      <c r="B102" s="110"/>
      <c r="C102" s="110"/>
      <c r="D102" s="110"/>
      <c r="E102" s="110"/>
      <c r="F102" s="110"/>
      <c r="G102" s="110"/>
      <c r="H102" s="110"/>
    </row>
    <row r="103" spans="1:11" s="77" customFormat="1" ht="14.25" customHeight="1">
      <c r="A103" s="110"/>
      <c r="B103" s="110"/>
      <c r="C103" s="110"/>
      <c r="D103" s="110"/>
      <c r="E103" s="110"/>
      <c r="F103" s="110"/>
      <c r="G103" s="110"/>
      <c r="H103" s="110"/>
    </row>
    <row r="104" spans="1:11" s="77" customFormat="1" ht="13">
      <c r="A104" s="1" t="s">
        <v>48</v>
      </c>
    </row>
    <row r="105" spans="1:11" s="77" customFormat="1" ht="11">
      <c r="A105" s="77" t="s">
        <v>49</v>
      </c>
    </row>
    <row r="106" spans="1:11" s="77" customFormat="1" ht="11"/>
    <row r="107" spans="1:11" s="77" customFormat="1" ht="11"/>
    <row r="108" spans="1:11" s="77" customFormat="1" ht="11"/>
    <row r="109" spans="1:11" s="77" customFormat="1" ht="11">
      <c r="H109" s="84"/>
      <c r="I109" s="84"/>
      <c r="J109" s="84"/>
      <c r="K109" s="84"/>
    </row>
    <row r="110" spans="1:11" s="77" customFormat="1" ht="11">
      <c r="H110" s="84"/>
      <c r="I110" s="84"/>
      <c r="J110" s="84"/>
      <c r="K110" s="84"/>
    </row>
    <row r="111" spans="1:11" ht="13">
      <c r="H111" s="11"/>
      <c r="I111" s="11"/>
      <c r="J111" s="11"/>
      <c r="K111" s="11"/>
    </row>
    <row r="112" spans="1:11" ht="13">
      <c r="H112" s="11"/>
      <c r="I112" s="11"/>
      <c r="J112" s="11"/>
      <c r="K112" s="11"/>
    </row>
  </sheetData>
  <sheetCalcPr fullCalcOnLoad="1"/>
  <sheetProtection password="E87E" sheet="1" objects="1" scenarios="1"/>
  <mergeCells count="36">
    <mergeCell ref="A1:H1"/>
    <mergeCell ref="M76:N76"/>
    <mergeCell ref="L78:N78"/>
    <mergeCell ref="I37:K37"/>
    <mergeCell ref="I38:K38"/>
    <mergeCell ref="I57:K57"/>
    <mergeCell ref="J64:K64"/>
    <mergeCell ref="L37:N37"/>
    <mergeCell ref="L38:N38"/>
    <mergeCell ref="L57:N57"/>
    <mergeCell ref="M64:N64"/>
    <mergeCell ref="G76:H76"/>
    <mergeCell ref="F78:H78"/>
    <mergeCell ref="A78:E78"/>
    <mergeCell ref="C79:D79"/>
    <mergeCell ref="C80:D80"/>
    <mergeCell ref="C76:E76"/>
    <mergeCell ref="G85:H85"/>
    <mergeCell ref="C81:D81"/>
    <mergeCell ref="C82:D82"/>
    <mergeCell ref="A102:H103"/>
    <mergeCell ref="A57:E57"/>
    <mergeCell ref="C64:E64"/>
    <mergeCell ref="A2:H2"/>
    <mergeCell ref="J76:K76"/>
    <mergeCell ref="I78:K78"/>
    <mergeCell ref="A4:B4"/>
    <mergeCell ref="F37:H37"/>
    <mergeCell ref="F38:H38"/>
    <mergeCell ref="F57:H57"/>
    <mergeCell ref="G64:H64"/>
    <mergeCell ref="A37:E37"/>
    <mergeCell ref="A38:E38"/>
    <mergeCell ref="C83:D83"/>
    <mergeCell ref="A64:B64"/>
    <mergeCell ref="A65:B65"/>
  </mergeCells>
  <phoneticPr fontId="14" type="noConversion"/>
  <conditionalFormatting sqref="G87:H90">
    <cfRule type="cellIs" dxfId="0" priority="3" operator="lessThan">
      <formula>0</formula>
    </cfRule>
  </conditionalFormatting>
  <printOptions gridLines="1"/>
  <pageMargins left="0.7" right="0.7" top="0.75" bottom="0.75" header="0.3" footer="0.3"/>
  <customProperties>
    <customPr name="SSCSheetTrackingNo" r:id="rId1"/>
  </customPropertie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C1:C14"/>
  <sheetViews>
    <sheetView workbookViewId="0"/>
  </sheetViews>
  <sheetFormatPr baseColWidth="10" defaultColWidth="8.83203125" defaultRowHeight="14"/>
  <sheetData>
    <row r="1" spans="3:3">
      <c r="C1" t="s">
        <v>27</v>
      </c>
    </row>
    <row r="2" spans="3:3">
      <c r="C2" t="s">
        <v>27</v>
      </c>
    </row>
    <row r="3" spans="3:3">
      <c r="C3" t="s">
        <v>27</v>
      </c>
    </row>
    <row r="4" spans="3:3">
      <c r="C4" t="s">
        <v>27</v>
      </c>
    </row>
    <row r="5" spans="3:3">
      <c r="C5" t="s">
        <v>27</v>
      </c>
    </row>
    <row r="6" spans="3:3">
      <c r="C6" t="s">
        <v>27</v>
      </c>
    </row>
    <row r="7" spans="3:3">
      <c r="C7" t="s">
        <v>27</v>
      </c>
    </row>
    <row r="8" spans="3:3">
      <c r="C8" t="s">
        <v>27</v>
      </c>
    </row>
    <row r="9" spans="3:3">
      <c r="C9" t="s">
        <v>27</v>
      </c>
    </row>
    <row r="10" spans="3:3">
      <c r="C10" t="s">
        <v>27</v>
      </c>
    </row>
    <row r="11" spans="3:3">
      <c r="C11" t="s">
        <v>27</v>
      </c>
    </row>
    <row r="12" spans="3:3">
      <c r="C12" t="s">
        <v>27</v>
      </c>
    </row>
    <row r="13" spans="3:3">
      <c r="C13" t="s">
        <v>32</v>
      </c>
    </row>
    <row r="14" spans="3:3">
      <c r="C14" t="s">
        <v>27</v>
      </c>
    </row>
  </sheetData>
  <sheetCalcPr fullCalcOnLoad="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Birch Production in Maple 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UVM</cp:lastModifiedBy>
  <cp:lastPrinted>2013-11-20T13:51:47Z</cp:lastPrinted>
  <dcterms:created xsi:type="dcterms:W3CDTF">2012-10-12T15:15:58Z</dcterms:created>
  <dcterms:modified xsi:type="dcterms:W3CDTF">2015-03-09T19:15:54Z</dcterms:modified>
</cp:coreProperties>
</file>